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Obchodní případ\Předběžný archeologický výzkum (PAV)\PAV MB I - Druhé vypsání\0.9 Příprava ZD\"/>
    </mc:Choice>
  </mc:AlternateContent>
  <xr:revisionPtr revIDLastSave="0" documentId="13_ncr:1_{5AADDF2C-9B7F-48AA-99BB-1DCA3C820049}" xr6:coauthVersionLast="47" xr6:coauthVersionMax="47" xr10:uidLastSave="{00000000-0000-0000-0000-000000000000}"/>
  <bookViews>
    <workbookView xWindow="-28920" yWindow="-120" windowWidth="29040" windowHeight="15840" xr2:uid="{B6FAFC4F-76B2-4479-B13F-E4263324FF8A}"/>
  </bookViews>
  <sheets>
    <sheet name="MB 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24" i="2"/>
  <c r="G23" i="2"/>
  <c r="G22" i="2"/>
  <c r="G18" i="2"/>
  <c r="G14" i="2"/>
  <c r="G16" i="2" s="1"/>
  <c r="G112" i="2" s="1"/>
  <c r="G7" i="2"/>
  <c r="G10" i="2"/>
  <c r="G12" i="2" s="1"/>
  <c r="G111" i="2" s="1"/>
  <c r="G25" i="2" l="1"/>
  <c r="G114" i="2" s="1"/>
  <c r="G8" i="2"/>
  <c r="G110" i="2" s="1"/>
  <c r="E96" i="2"/>
  <c r="E95" i="2"/>
  <c r="E94" i="2"/>
  <c r="E93" i="2"/>
  <c r="E92" i="2"/>
  <c r="E91" i="2"/>
  <c r="D96" i="2"/>
  <c r="D95" i="2"/>
  <c r="D94" i="2"/>
  <c r="D93" i="2"/>
  <c r="D92" i="2"/>
  <c r="D91" i="2"/>
  <c r="E90" i="2"/>
  <c r="D89" i="2"/>
  <c r="G89" i="2" s="1"/>
  <c r="D88" i="2"/>
  <c r="G88" i="2" s="1"/>
  <c r="E85" i="2"/>
  <c r="E86" i="2"/>
  <c r="E84" i="2"/>
  <c r="D85" i="2"/>
  <c r="D86" i="2"/>
  <c r="G86" i="2" s="1"/>
  <c r="D84" i="2"/>
  <c r="E82" i="2"/>
  <c r="E81" i="2"/>
  <c r="E80" i="2"/>
  <c r="E79" i="2"/>
  <c r="E78" i="2"/>
  <c r="E77" i="2"/>
  <c r="E76" i="2"/>
  <c r="E73" i="2"/>
  <c r="E74" i="2"/>
  <c r="E72" i="2"/>
  <c r="D73" i="2"/>
  <c r="D74" i="2"/>
  <c r="D72" i="2"/>
  <c r="D82" i="2"/>
  <c r="D81" i="2"/>
  <c r="D80" i="2"/>
  <c r="D79" i="2"/>
  <c r="D78" i="2"/>
  <c r="D77" i="2"/>
  <c r="D76" i="2"/>
  <c r="E70" i="2"/>
  <c r="E69" i="2"/>
  <c r="E68" i="2"/>
  <c r="E67" i="2"/>
  <c r="E66" i="2"/>
  <c r="D70" i="2"/>
  <c r="D69" i="2"/>
  <c r="D68" i="2"/>
  <c r="D67" i="2"/>
  <c r="D66" i="2"/>
  <c r="E64" i="2"/>
  <c r="G64" i="2" s="1"/>
  <c r="E63" i="2"/>
  <c r="G63" i="2" s="1"/>
  <c r="D65" i="2"/>
  <c r="E61" i="2"/>
  <c r="E60" i="2"/>
  <c r="E59" i="2"/>
  <c r="E58" i="2"/>
  <c r="E57" i="2"/>
  <c r="E56" i="2"/>
  <c r="D61" i="2"/>
  <c r="D60" i="2"/>
  <c r="D59" i="2"/>
  <c r="D58" i="2"/>
  <c r="D57" i="2"/>
  <c r="D56" i="2"/>
  <c r="E54" i="2"/>
  <c r="E53" i="2"/>
  <c r="G53" i="2" s="1"/>
  <c r="E52" i="2"/>
  <c r="E50" i="2"/>
  <c r="E49" i="2"/>
  <c r="D54" i="2"/>
  <c r="G54" i="2" s="1"/>
  <c r="D52" i="2"/>
  <c r="G52" i="2" s="1"/>
  <c r="D51" i="2"/>
  <c r="G51" i="2" s="1"/>
  <c r="D50" i="2"/>
  <c r="G50" i="2" s="1"/>
  <c r="D49" i="2"/>
  <c r="E47" i="2"/>
  <c r="E46" i="2"/>
  <c r="E45" i="2"/>
  <c r="E44" i="2"/>
  <c r="D47" i="2"/>
  <c r="D46" i="2"/>
  <c r="D45" i="2"/>
  <c r="D44" i="2"/>
  <c r="E41" i="2"/>
  <c r="E39" i="2"/>
  <c r="E40" i="2"/>
  <c r="E42" i="2"/>
  <c r="E38" i="2"/>
  <c r="D41" i="2"/>
  <c r="D39" i="2"/>
  <c r="D40" i="2"/>
  <c r="D42" i="2"/>
  <c r="D38" i="2"/>
  <c r="E36" i="2"/>
  <c r="E34" i="2"/>
  <c r="E33" i="2"/>
  <c r="E32" i="2"/>
  <c r="E31" i="2"/>
  <c r="E30" i="2"/>
  <c r="D32" i="2"/>
  <c r="D35" i="2"/>
  <c r="D34" i="2"/>
  <c r="D33" i="2"/>
  <c r="G33" i="2" s="1"/>
  <c r="D36" i="2"/>
  <c r="D30" i="2"/>
  <c r="G30" i="2" s="1"/>
  <c r="D31" i="2"/>
  <c r="E103" i="2" l="1"/>
  <c r="G72" i="2"/>
  <c r="D103" i="2"/>
  <c r="G31" i="2"/>
  <c r="D99" i="2"/>
  <c r="E98" i="2"/>
  <c r="D101" i="2"/>
  <c r="D100" i="2"/>
  <c r="E99" i="2"/>
  <c r="D102" i="2"/>
  <c r="E101" i="2"/>
  <c r="E102" i="2"/>
  <c r="G35" i="2"/>
  <c r="E100" i="2"/>
  <c r="G46" i="2"/>
  <c r="G74" i="2"/>
  <c r="G85" i="2"/>
  <c r="G65" i="2"/>
  <c r="G39" i="2"/>
  <c r="G67" i="2"/>
  <c r="G47" i="2"/>
  <c r="G56" i="2"/>
  <c r="G81" i="2"/>
  <c r="G57" i="2"/>
  <c r="G68" i="2"/>
  <c r="G82" i="2"/>
  <c r="G58" i="2"/>
  <c r="G59" i="2"/>
  <c r="G70" i="2"/>
  <c r="G73" i="2"/>
  <c r="G60" i="2"/>
  <c r="G42" i="2"/>
  <c r="G38" i="2"/>
  <c r="G40" i="2"/>
  <c r="G76" i="2"/>
  <c r="G93" i="2"/>
  <c r="G94" i="2"/>
  <c r="G95" i="2"/>
  <c r="G69" i="2"/>
  <c r="G96" i="2"/>
  <c r="G61" i="2"/>
  <c r="G49" i="2"/>
  <c r="G55" i="2" s="1"/>
  <c r="G118" i="2" s="1"/>
  <c r="G90" i="2"/>
  <c r="G125" i="2" s="1"/>
  <c r="G41" i="2"/>
  <c r="G34" i="2"/>
  <c r="G77" i="2"/>
  <c r="F101" i="2"/>
  <c r="G36" i="2"/>
  <c r="G44" i="2"/>
  <c r="G79" i="2"/>
  <c r="G91" i="2"/>
  <c r="G32" i="2"/>
  <c r="G78" i="2"/>
  <c r="G45" i="2"/>
  <c r="G66" i="2"/>
  <c r="G80" i="2"/>
  <c r="G84" i="2"/>
  <c r="G87" i="2" s="1"/>
  <c r="G124" i="2" s="1"/>
  <c r="G92" i="2"/>
  <c r="E104" i="2"/>
  <c r="D104" i="2"/>
  <c r="D98" i="2"/>
  <c r="D97" i="2"/>
  <c r="E97" i="2"/>
  <c r="D90" i="2"/>
  <c r="E87" i="2"/>
  <c r="D87" i="2"/>
  <c r="E83" i="2"/>
  <c r="D83" i="2"/>
  <c r="E75" i="2"/>
  <c r="D75" i="2"/>
  <c r="D71" i="2"/>
  <c r="E71" i="2"/>
  <c r="E65" i="2"/>
  <c r="E62" i="2"/>
  <c r="D62" i="2"/>
  <c r="E55" i="2"/>
  <c r="D55" i="2"/>
  <c r="E48" i="2"/>
  <c r="D48" i="2"/>
  <c r="E43" i="2"/>
  <c r="D43" i="2"/>
  <c r="E37" i="2"/>
  <c r="D37" i="2"/>
  <c r="F103" i="2" l="1"/>
  <c r="G75" i="2"/>
  <c r="G122" i="2" s="1"/>
  <c r="F98" i="2"/>
  <c r="F102" i="2"/>
  <c r="F100" i="2"/>
  <c r="F99" i="2"/>
  <c r="G62" i="2"/>
  <c r="G119" i="2" s="1"/>
  <c r="F104" i="2"/>
  <c r="G71" i="2"/>
  <c r="G121" i="2" s="1"/>
  <c r="G43" i="2"/>
  <c r="G116" i="2" s="1"/>
  <c r="G97" i="2"/>
  <c r="G126" i="2" s="1"/>
  <c r="G48" i="2"/>
  <c r="G117" i="2" s="1"/>
  <c r="G83" i="2"/>
  <c r="G123" i="2" s="1"/>
  <c r="G37" i="2"/>
  <c r="G115" i="2" s="1"/>
  <c r="E105" i="2"/>
  <c r="D105" i="2"/>
  <c r="G120" i="2"/>
  <c r="G105" i="2" l="1"/>
  <c r="F19" i="2" s="1"/>
  <c r="G19" i="2" s="1"/>
  <c r="G20" i="2" s="1"/>
  <c r="G113" i="2" s="1"/>
  <c r="G127" i="2" s="1"/>
  <c r="G107" i="2" l="1"/>
</calcChain>
</file>

<file path=xl/sharedStrings.xml><?xml version="1.0" encoding="utf-8"?>
<sst xmlns="http://schemas.openxmlformats.org/spreadsheetml/2006/main" count="211" uniqueCount="100">
  <si>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</si>
  <si>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</si>
  <si>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</si>
  <si>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</si>
  <si>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</si>
  <si>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</si>
  <si>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</si>
  <si>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</si>
  <si>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</si>
  <si>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</si>
  <si>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"RS 1 VRT Prosenice - Ostrava-Svinov, I. část, Prosenice - Hranice na Moravě"; Předběžný archeologický výzkum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</si>
  <si>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</si>
  <si>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</si>
  <si>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</si>
  <si>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</si>
  <si>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</si>
  <si>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</si>
  <si>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</si>
  <si>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</si>
  <si>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</si>
  <si>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</si>
  <si>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</si>
  <si>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</si>
  <si>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</si>
  <si>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</si>
  <si>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</si>
  <si>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</si>
  <si>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</si>
  <si>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</si>
  <si>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</si>
  <si>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</si>
  <si>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</si>
  <si>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</si>
  <si>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</si>
  <si>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</si>
  <si>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</si>
  <si>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</si>
  <si>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</si>
  <si>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</si>
  <si>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</si>
  <si>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</si>
  <si>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</si>
  <si>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</si>
  <si>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</si>
  <si>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</si>
  <si>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</si>
  <si>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</si>
  <si>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</si>
  <si>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</si>
  <si>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</si>
  <si>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</si>
  <si>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</si>
  <si>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</si>
  <si>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Transfer a údržba dat po každé z dílčích etap plnění</t>
  </si>
  <si>
    <t>R E K A P I T U L A C E</t>
  </si>
  <si>
    <t>CENA CELKEM BEZ DPH (položky 1 - 6)</t>
  </si>
  <si>
    <t>kap.</t>
  </si>
  <si>
    <t>Drahotuše     (631949)</t>
  </si>
  <si>
    <t>Hranice          (647683)</t>
  </si>
  <si>
    <t>Jezernice      (659401)</t>
  </si>
  <si>
    <t>Klokočí           (666459)</t>
  </si>
  <si>
    <t>Lipník nad Bečvou (684261)</t>
  </si>
  <si>
    <t>Olšovec          (711187)</t>
  </si>
  <si>
    <t>Osek nad Bečvou (713015)</t>
  </si>
  <si>
    <t>Proseničky        (733296)</t>
  </si>
  <si>
    <t>Slavíč            (750042)</t>
  </si>
  <si>
    <t>Trnávka u Lipníka       nad Bečvou (768316)</t>
  </si>
  <si>
    <t>Tupec                 (780855)</t>
  </si>
  <si>
    <t>Velká u Hranic (778184)</t>
  </si>
  <si>
    <t>dílčí mezisoučet pol. 6</t>
  </si>
  <si>
    <t>Drahotuše - nacenění jednotlivých ploch s ohledem na požadované metody PAV</t>
  </si>
  <si>
    <t>Hranice - nacenění jednotlivých ploch s ohledem na požadované metody PAV</t>
  </si>
  <si>
    <t>Jezernice - nacenění jednotlivých ploch s ohledem na požadované metody PAV</t>
  </si>
  <si>
    <t>Klokočí - nacenění jednotlivých ploch s ohledem na požadované metody PAV</t>
  </si>
  <si>
    <t>Lipník nad Bečvou - nacenění jednotlivých ploch s ohledem na požadované metody PAV</t>
  </si>
  <si>
    <t>Olšovec - nacenění jednotlivých ploch s ohledem na požadované metody PAV</t>
  </si>
  <si>
    <t>Osek nad Bečvou - nacenění jednotlivých ploch s ohledem na požadované metody PAV</t>
  </si>
  <si>
    <t>Proseničky - nacenění jednotlivých ploch s ohledem na požadované metody PAV</t>
  </si>
  <si>
    <t>Slavíč - nacenění jednotlivých ploch s ohledem na požadované metody PAV</t>
  </si>
  <si>
    <t>Trnávka u Lipníka - nacenění jednotlivých ploch s ohledem na požadované metody PAV</t>
  </si>
  <si>
    <t>Tupec - nacenění jednotlivých ploch s ohledem na požadované metody PAV</t>
  </si>
  <si>
    <t>Velká u Hranice - nacenění jednotlivých ploch s ohledem na požadované metody PAV</t>
  </si>
  <si>
    <t>výjezd</t>
  </si>
  <si>
    <t>5.3</t>
  </si>
  <si>
    <t>ks</t>
  </si>
  <si>
    <t>Celkem bez DPH</t>
  </si>
  <si>
    <t>CELKEM bez DPH</t>
  </si>
  <si>
    <t>Všechny ceny jsou uvedeny bez DPH.</t>
  </si>
  <si>
    <t>Druh pozemku - pozemky dotčené stavbou</t>
  </si>
  <si>
    <t>Předpokládané trvalé vynětí    m. j. ha</t>
  </si>
  <si>
    <t>Předpokládané dočasné vynětí m. j. ha</t>
  </si>
  <si>
    <t>Náhrada škod související se vstupy na pozemky (1,5 % z kap. 6)</t>
  </si>
  <si>
    <t>Pole určená k vyplnění jsou podbarvená žlutě.</t>
  </si>
  <si>
    <t>Nacenění jednotlivých ploch po zájmových katastrech s ohledem na požadované metody PAV mimo metody PAV obsažené v položkách 1 až 3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</si>
  <si>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</si>
  <si>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</si>
  <si>
    <t>Jednotlivé plochy naceňujte kompletně se započítáním všech pracovníků, dopravy, geodetického zaměření, vytýčení plochy, zpracování a interpretace naměřených dat.</t>
  </si>
  <si>
    <t>NEOBSAZENO</t>
  </si>
  <si>
    <t xml:space="preserve">neobsazeno 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</si>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</sst>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49" fontId="3" fillId="0" borderId="19" xfId="0" applyNumberFormat="1" applyFont="1" applyBorder="1" applyAlignment="1">
      <alignment vertical="top"/>
    </xf>
    <xf numFmtId="164" fontId="3" fillId="0" borderId="52" xfId="0" applyNumberFormat="1" applyFont="1" applyBorder="1" applyAlignment="1">
      <alignment horizontal="right"/>
    </xf>
    <xf numFmtId="164" fontId="3" fillId="0" borderId="53" xfId="0" applyNumberFormat="1" applyFont="1" applyBorder="1" applyAlignment="1">
      <alignment horizontal="right"/>
    </xf>
    <xf numFmtId="164" fontId="4" fillId="0" borderId="19" xfId="0" applyNumberFormat="1" applyFont="1" applyBorder="1"/>
    <xf numFmtId="164" fontId="7" fillId="0" borderId="0" xfId="0" applyNumberFormat="1" applyFont="1" applyAlignment="1">
      <alignment horizont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164" fontId="3" fillId="0" borderId="26" xfId="0" applyNumberFormat="1" applyFont="1" applyBorder="1" applyAlignment="1" applyProtection="1">
      <alignment horizontal="right" vertical="center"/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center" vertical="top"/>
    </xf>
    <xf numFmtId="49" fontId="3" fillId="0" borderId="37" xfId="0" applyNumberFormat="1" applyFont="1" applyBorder="1" applyAlignment="1">
      <alignment horizontal="center" vertical="top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8" xfId="0" applyNumberFormat="1" applyFont="1" applyBorder="1" applyAlignment="1">
      <alignment horizontal="left" vertical="center" wrapText="1"/>
    </xf>
    <xf numFmtId="49" fontId="3" fillId="0" borderId="39" xfId="0" applyNumberFormat="1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49" fontId="3" fillId="0" borderId="23" xfId="0" applyNumberFormat="1" applyFont="1" applyBorder="1" applyAlignment="1">
      <alignment horizontal="left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34"/>
  <sheetViews>
    <sheetView tabSelected="1" topLeftCell="A66" zoomScale="110" zoomScaleNormal="110" workbookViewId="0">
      <selection activeCell="I115" sqref="I115"/>
    </sheetView>
  </sheetViews>
  <sheetFormatPr defaultColWidth="9.140625" defaultRowHeight="11.25" x14ac:dyDescent="0.15"/>
  <cols>
    <col min="1" max="1" width="9.140625" style="27"/>
    <col min="2" max="2" width="20.7109375" style="27" customWidth="1"/>
    <col min="3" max="3" width="53" style="27" customWidth="1"/>
    <col min="4" max="7" width="15.7109375" style="27" customWidth="1"/>
    <col min="8" max="8" width="18.42578125" style="27" customWidth="1"/>
    <col min="9" max="9" width="9.140625" style="27"/>
    <col min="10" max="10" width="9.85546875" style="27" bestFit="1" customWidth="1"/>
    <col min="11" max="16384" width="9.140625" style="27"/>
  </cols>
  <sheetData>
    <row r="1" spans="1:7" ht="30" customHeight="1" x14ac:dyDescent="0.15">
      <c r="A1" s="116"/>
      <c r="B1" s="144" t="s">
        <v>9</v>
      </c>
      <c r="C1" s="145"/>
      <c r="D1" s="145"/>
      <c r="E1" s="145"/>
      <c r="F1" s="145"/>
      <c r="G1" s="146"/>
    </row>
    <row r="2" spans="1:7" ht="24.95" customHeight="1" x14ac:dyDescent="0.15">
      <c r="A2" s="117"/>
      <c r="B2" s="147" t="s">
        <v>10</v>
      </c>
      <c r="C2" s="148"/>
      <c r="D2" s="148"/>
      <c r="E2" s="148"/>
      <c r="F2" s="148"/>
      <c r="G2" s="149"/>
    </row>
    <row r="3" spans="1:7" ht="12" customHeight="1" thickBot="1" x14ac:dyDescent="0.2">
      <c r="A3" s="118"/>
      <c r="B3" s="15"/>
      <c r="C3" s="16"/>
      <c r="D3" s="16"/>
      <c r="E3" s="16"/>
      <c r="F3" s="16"/>
      <c r="G3" s="17"/>
    </row>
    <row r="4" spans="1:7" ht="24.95" customHeight="1" thickBot="1" x14ac:dyDescent="0.2">
      <c r="A4" s="18" t="s">
        <v>11</v>
      </c>
      <c r="B4" s="19" t="s">
        <v>12</v>
      </c>
      <c r="C4" s="20"/>
      <c r="D4" s="21" t="s">
        <v>13</v>
      </c>
      <c r="E4" s="22" t="s">
        <v>14</v>
      </c>
      <c r="F4" s="23" t="s">
        <v>15</v>
      </c>
      <c r="G4" s="22" t="s">
        <v>16</v>
      </c>
    </row>
    <row r="5" spans="1:7" ht="20.100000000000001" customHeight="1" thickBot="1" x14ac:dyDescent="0.2">
      <c r="A5" s="28">
        <v>1</v>
      </c>
      <c r="B5" s="153" t="s">
        <v>17</v>
      </c>
      <c r="C5" s="154"/>
      <c r="D5" s="154"/>
      <c r="E5" s="154"/>
      <c r="F5" s="154"/>
      <c r="G5" s="155"/>
    </row>
    <row r="6" spans="1:7" ht="11.25" customHeight="1" x14ac:dyDescent="0.15">
      <c r="A6" s="4" t="s">
        <v>18</v>
      </c>
      <c r="B6" s="5" t="s">
        <v>30</v>
      </c>
      <c r="C6" s="6"/>
      <c r="D6" s="7">
        <v>1</v>
      </c>
      <c r="E6" s="7" t="s">
        <v>19</v>
      </c>
      <c r="F6" s="81">
        <v>0</v>
      </c>
      <c r="G6" s="1">
        <f>D6*F6</f>
        <v>0</v>
      </c>
    </row>
    <row r="7" spans="1:7" ht="11.25" customHeight="1" x14ac:dyDescent="0.15">
      <c r="A7" s="8" t="s">
        <v>20</v>
      </c>
      <c r="B7" s="9" t="s">
        <v>31</v>
      </c>
      <c r="C7" s="10"/>
      <c r="D7" s="11">
        <v>1</v>
      </c>
      <c r="E7" s="12" t="s">
        <v>19</v>
      </c>
      <c r="F7" s="82">
        <v>0</v>
      </c>
      <c r="G7" s="2">
        <f>D7*F7</f>
        <v>0</v>
      </c>
    </row>
    <row r="8" spans="1:7" ht="11.25" customHeight="1" thickBot="1" x14ac:dyDescent="0.2">
      <c r="A8" s="13"/>
      <c r="B8" s="126" t="s">
        <v>21</v>
      </c>
      <c r="C8" s="127"/>
      <c r="D8" s="14"/>
      <c r="E8" s="14"/>
      <c r="F8" s="26" t="s">
        <v>22</v>
      </c>
      <c r="G8" s="3">
        <f>SUM(G6:G7)</f>
        <v>0</v>
      </c>
    </row>
    <row r="9" spans="1:7" ht="20.100000000000001" customHeight="1" thickBot="1" x14ac:dyDescent="0.2">
      <c r="A9" s="24">
        <v>2</v>
      </c>
      <c r="B9" s="150" t="s">
        <v>97</v>
      </c>
      <c r="C9" s="151"/>
      <c r="D9" s="151"/>
      <c r="E9" s="151"/>
      <c r="F9" s="151"/>
      <c r="G9" s="152"/>
    </row>
    <row r="10" spans="1:7" ht="11.25" customHeight="1" x14ac:dyDescent="0.15">
      <c r="A10" s="111" t="s">
        <v>29</v>
      </c>
      <c r="B10" s="134" t="s">
        <v>97</v>
      </c>
      <c r="C10" s="135"/>
      <c r="D10" s="119">
        <v>0</v>
      </c>
      <c r="E10" s="119" t="s">
        <v>82</v>
      </c>
      <c r="F10" s="109">
        <v>0</v>
      </c>
      <c r="G10" s="156">
        <f>D10*F10</f>
        <v>0</v>
      </c>
    </row>
    <row r="11" spans="1:7" ht="11.25" customHeight="1" x14ac:dyDescent="0.15">
      <c r="A11" s="112"/>
      <c r="B11" s="136"/>
      <c r="C11" s="137"/>
      <c r="D11" s="120"/>
      <c r="E11" s="120"/>
      <c r="F11" s="110"/>
      <c r="G11" s="157"/>
    </row>
    <row r="12" spans="1:7" ht="11.25" customHeight="1" thickBot="1" x14ac:dyDescent="0.2">
      <c r="A12" s="13"/>
      <c r="B12" s="124" t="s">
        <v>98</v>
      </c>
      <c r="C12" s="125"/>
      <c r="D12" s="14"/>
      <c r="E12" s="14"/>
      <c r="F12" s="26" t="s">
        <v>22</v>
      </c>
      <c r="G12" s="3">
        <f>SUM(G10)</f>
        <v>0</v>
      </c>
    </row>
    <row r="13" spans="1:7" ht="20.100000000000001" customHeight="1" thickBot="1" x14ac:dyDescent="0.2">
      <c r="A13" s="24">
        <v>3</v>
      </c>
      <c r="B13" s="150" t="s">
        <v>26</v>
      </c>
      <c r="C13" s="151"/>
      <c r="D13" s="151"/>
      <c r="E13" s="151"/>
      <c r="F13" s="151"/>
      <c r="G13" s="152"/>
    </row>
    <row r="14" spans="1:7" ht="11.25" customHeight="1" x14ac:dyDescent="0.15">
      <c r="A14" s="111" t="s">
        <v>33</v>
      </c>
      <c r="B14" s="128" t="s">
        <v>32</v>
      </c>
      <c r="C14" s="129"/>
      <c r="D14" s="119">
        <v>1</v>
      </c>
      <c r="E14" s="119" t="s">
        <v>19</v>
      </c>
      <c r="F14" s="162">
        <v>0</v>
      </c>
      <c r="G14" s="156">
        <f>D14*F14</f>
        <v>0</v>
      </c>
    </row>
    <row r="15" spans="1:7" ht="11.25" customHeight="1" x14ac:dyDescent="0.15">
      <c r="A15" s="112"/>
      <c r="B15" s="130"/>
      <c r="C15" s="131"/>
      <c r="D15" s="120"/>
      <c r="E15" s="120"/>
      <c r="F15" s="163"/>
      <c r="G15" s="157"/>
    </row>
    <row r="16" spans="1:7" ht="11.25" customHeight="1" thickBot="1" x14ac:dyDescent="0.2">
      <c r="A16" s="13"/>
      <c r="B16" s="124" t="s">
        <v>34</v>
      </c>
      <c r="C16" s="125"/>
      <c r="D16" s="14"/>
      <c r="E16" s="14"/>
      <c r="F16" s="26" t="s">
        <v>22</v>
      </c>
      <c r="G16" s="3">
        <f>SUM(G14:G15)</f>
        <v>0</v>
      </c>
    </row>
    <row r="17" spans="1:8" ht="20.100000000000001" customHeight="1" thickBot="1" x14ac:dyDescent="0.2">
      <c r="A17" s="24">
        <v>4</v>
      </c>
      <c r="B17" s="150" t="s">
        <v>23</v>
      </c>
      <c r="C17" s="151"/>
      <c r="D17" s="151"/>
      <c r="E17" s="151"/>
      <c r="F17" s="151"/>
      <c r="G17" s="152"/>
    </row>
    <row r="18" spans="1:8" ht="11.25" customHeight="1" x14ac:dyDescent="0.15">
      <c r="A18" s="4" t="s">
        <v>35</v>
      </c>
      <c r="B18" s="167" t="s">
        <v>23</v>
      </c>
      <c r="C18" s="167"/>
      <c r="D18" s="7">
        <v>1</v>
      </c>
      <c r="E18" s="7" t="s">
        <v>19</v>
      </c>
      <c r="F18" s="81">
        <v>0</v>
      </c>
      <c r="G18" s="1">
        <f>D18*F18</f>
        <v>0</v>
      </c>
    </row>
    <row r="19" spans="1:8" ht="11.25" customHeight="1" x14ac:dyDescent="0.15">
      <c r="A19" s="8" t="s">
        <v>36</v>
      </c>
      <c r="B19" s="168" t="s">
        <v>91</v>
      </c>
      <c r="C19" s="168"/>
      <c r="D19" s="11">
        <v>1</v>
      </c>
      <c r="E19" s="12" t="s">
        <v>19</v>
      </c>
      <c r="F19" s="25">
        <f>G105*0.015</f>
        <v>0</v>
      </c>
      <c r="G19" s="2">
        <f>F19*D19</f>
        <v>0</v>
      </c>
    </row>
    <row r="20" spans="1:8" ht="11.25" customHeight="1" thickBot="1" x14ac:dyDescent="0.2">
      <c r="A20" s="13"/>
      <c r="B20" s="124" t="s">
        <v>39</v>
      </c>
      <c r="C20" s="125"/>
      <c r="D20" s="14"/>
      <c r="E20" s="14"/>
      <c r="F20" s="26" t="s">
        <v>22</v>
      </c>
      <c r="G20" s="3">
        <f>SUM(G18:G19)</f>
        <v>0</v>
      </c>
    </row>
    <row r="21" spans="1:8" ht="20.100000000000001" customHeight="1" thickBot="1" x14ac:dyDescent="0.2">
      <c r="A21" s="28">
        <v>5</v>
      </c>
      <c r="B21" s="153" t="s">
        <v>25</v>
      </c>
      <c r="C21" s="154"/>
      <c r="D21" s="154"/>
      <c r="E21" s="154"/>
      <c r="F21" s="154"/>
      <c r="G21" s="155"/>
    </row>
    <row r="22" spans="1:8" ht="11.25" customHeight="1" x14ac:dyDescent="0.15">
      <c r="A22" s="29" t="s">
        <v>37</v>
      </c>
      <c r="B22" s="84" t="s">
        <v>24</v>
      </c>
      <c r="C22" s="169"/>
      <c r="D22" s="12">
        <v>1</v>
      </c>
      <c r="E22" s="12" t="s">
        <v>19</v>
      </c>
      <c r="F22" s="83">
        <v>0</v>
      </c>
      <c r="G22" s="30">
        <f>D22*F22</f>
        <v>0</v>
      </c>
    </row>
    <row r="23" spans="1:8" ht="11.25" customHeight="1" x14ac:dyDescent="0.15">
      <c r="A23" s="8" t="s">
        <v>38</v>
      </c>
      <c r="B23" s="86" t="s">
        <v>53</v>
      </c>
      <c r="C23" s="161"/>
      <c r="D23" s="11">
        <v>11</v>
      </c>
      <c r="E23" s="11" t="s">
        <v>84</v>
      </c>
      <c r="F23" s="82">
        <v>0</v>
      </c>
      <c r="G23" s="2">
        <f>D23*F23</f>
        <v>0</v>
      </c>
    </row>
    <row r="24" spans="1:8" ht="11.25" customHeight="1" x14ac:dyDescent="0.15">
      <c r="A24" s="8" t="s">
        <v>83</v>
      </c>
      <c r="B24" s="86" t="s">
        <v>27</v>
      </c>
      <c r="C24" s="161"/>
      <c r="D24" s="31" t="s">
        <v>28</v>
      </c>
      <c r="E24" s="31" t="s">
        <v>19</v>
      </c>
      <c r="F24" s="82">
        <v>0</v>
      </c>
      <c r="G24" s="2">
        <f>D24*F24</f>
        <v>0</v>
      </c>
    </row>
    <row r="25" spans="1:8" ht="11.25" customHeight="1" thickBot="1" x14ac:dyDescent="0.2">
      <c r="A25" s="32"/>
      <c r="B25" s="126" t="s">
        <v>40</v>
      </c>
      <c r="C25" s="127"/>
      <c r="D25" s="33"/>
      <c r="E25" s="33"/>
      <c r="F25" s="26" t="s">
        <v>22</v>
      </c>
      <c r="G25" s="3">
        <f>SUM(G23:G24)</f>
        <v>0</v>
      </c>
    </row>
    <row r="26" spans="1:8" ht="24.95" customHeight="1" thickBot="1" x14ac:dyDescent="0.2">
      <c r="A26" s="34">
        <v>6</v>
      </c>
      <c r="B26" s="158" t="s">
        <v>93</v>
      </c>
      <c r="C26" s="159"/>
      <c r="D26" s="159"/>
      <c r="E26" s="159"/>
      <c r="F26" s="159"/>
      <c r="G26" s="160"/>
    </row>
    <row r="27" spans="1:8" ht="11.25" customHeight="1" x14ac:dyDescent="0.15">
      <c r="A27" s="116"/>
      <c r="B27" s="164" t="s">
        <v>0</v>
      </c>
      <c r="C27" s="141" t="s">
        <v>88</v>
      </c>
      <c r="D27" s="138" t="s">
        <v>89</v>
      </c>
      <c r="E27" s="121" t="s">
        <v>90</v>
      </c>
      <c r="F27" s="138" t="s">
        <v>15</v>
      </c>
      <c r="G27" s="138" t="s">
        <v>16</v>
      </c>
      <c r="H27" s="35"/>
    </row>
    <row r="28" spans="1:8" ht="15.75" customHeight="1" x14ac:dyDescent="0.15">
      <c r="A28" s="117"/>
      <c r="B28" s="165"/>
      <c r="C28" s="142"/>
      <c r="D28" s="139"/>
      <c r="E28" s="122"/>
      <c r="F28" s="139"/>
      <c r="G28" s="139"/>
    </row>
    <row r="29" spans="1:8" ht="15.75" customHeight="1" thickBot="1" x14ac:dyDescent="0.2">
      <c r="A29" s="118"/>
      <c r="B29" s="166"/>
      <c r="C29" s="143"/>
      <c r="D29" s="140"/>
      <c r="E29" s="123"/>
      <c r="F29" s="140"/>
      <c r="G29" s="140"/>
    </row>
    <row r="30" spans="1:8" x14ac:dyDescent="0.15">
      <c r="A30" s="113" t="s">
        <v>41</v>
      </c>
      <c r="B30" s="89" t="s">
        <v>57</v>
      </c>
      <c r="C30" s="6" t="s">
        <v>2</v>
      </c>
      <c r="D30" s="36">
        <f>303958/10000</f>
        <v>30.395800000000001</v>
      </c>
      <c r="E30" s="36">
        <f>190231/10000</f>
        <v>19.023099999999999</v>
      </c>
      <c r="F30" s="83">
        <v>0</v>
      </c>
      <c r="G30" s="30">
        <f t="shared" ref="G30:G36" si="0">F30*(D30+E30)</f>
        <v>0</v>
      </c>
    </row>
    <row r="31" spans="1:8" x14ac:dyDescent="0.15">
      <c r="A31" s="115"/>
      <c r="B31" s="93"/>
      <c r="C31" s="37" t="s">
        <v>8</v>
      </c>
      <c r="D31" s="38">
        <f>1010/10000</f>
        <v>0.10100000000000001</v>
      </c>
      <c r="E31" s="38">
        <f>425/10000</f>
        <v>4.2500000000000003E-2</v>
      </c>
      <c r="F31" s="83">
        <v>0</v>
      </c>
      <c r="G31" s="30">
        <f t="shared" si="0"/>
        <v>0</v>
      </c>
    </row>
    <row r="32" spans="1:8" x14ac:dyDescent="0.15">
      <c r="A32" s="115"/>
      <c r="B32" s="93"/>
      <c r="C32" s="10" t="s">
        <v>5</v>
      </c>
      <c r="D32" s="39">
        <f>16676/10000</f>
        <v>1.6676</v>
      </c>
      <c r="E32" s="39">
        <f>948/10000</f>
        <v>9.4799999999999995E-2</v>
      </c>
      <c r="F32" s="83">
        <v>0</v>
      </c>
      <c r="G32" s="30">
        <f t="shared" si="0"/>
        <v>0</v>
      </c>
    </row>
    <row r="33" spans="1:7" x14ac:dyDescent="0.15">
      <c r="A33" s="115"/>
      <c r="B33" s="93"/>
      <c r="C33" s="40" t="s">
        <v>6</v>
      </c>
      <c r="D33" s="39">
        <f>9488/10000</f>
        <v>0.94879999999999998</v>
      </c>
      <c r="E33" s="39">
        <f>177/10000</f>
        <v>1.77E-2</v>
      </c>
      <c r="F33" s="83">
        <v>0</v>
      </c>
      <c r="G33" s="30">
        <f t="shared" si="0"/>
        <v>0</v>
      </c>
    </row>
    <row r="34" spans="1:7" x14ac:dyDescent="0.15">
      <c r="A34" s="115"/>
      <c r="B34" s="93"/>
      <c r="C34" s="10" t="s">
        <v>3</v>
      </c>
      <c r="D34" s="39">
        <f>18907/10000</f>
        <v>1.8907</v>
      </c>
      <c r="E34" s="39">
        <f>1113/10000</f>
        <v>0.1113</v>
      </c>
      <c r="F34" s="83">
        <v>0</v>
      </c>
      <c r="G34" s="30">
        <f t="shared" si="0"/>
        <v>0</v>
      </c>
    </row>
    <row r="35" spans="1:7" x14ac:dyDescent="0.15">
      <c r="A35" s="115"/>
      <c r="B35" s="93"/>
      <c r="C35" s="40" t="s">
        <v>7</v>
      </c>
      <c r="D35" s="39">
        <f>298/10000</f>
        <v>2.98E-2</v>
      </c>
      <c r="E35" s="39">
        <v>0</v>
      </c>
      <c r="F35" s="83">
        <v>0</v>
      </c>
      <c r="G35" s="30">
        <f t="shared" si="0"/>
        <v>0</v>
      </c>
    </row>
    <row r="36" spans="1:7" ht="12" thickBot="1" x14ac:dyDescent="0.2">
      <c r="A36" s="114"/>
      <c r="B36" s="90"/>
      <c r="C36" s="41" t="s">
        <v>4</v>
      </c>
      <c r="D36" s="42">
        <f>31618/10000</f>
        <v>3.1617999999999999</v>
      </c>
      <c r="E36" s="42">
        <f>4846/10000</f>
        <v>0.48459999999999998</v>
      </c>
      <c r="F36" s="83">
        <v>0</v>
      </c>
      <c r="G36" s="30">
        <f t="shared" si="0"/>
        <v>0</v>
      </c>
    </row>
    <row r="37" spans="1:7" ht="11.25" customHeight="1" thickBot="1" x14ac:dyDescent="0.2">
      <c r="A37" s="43"/>
      <c r="B37" s="44" t="s">
        <v>1</v>
      </c>
      <c r="C37" s="45"/>
      <c r="D37" s="46">
        <f>SUM(D30:D36)</f>
        <v>38.195500000000003</v>
      </c>
      <c r="E37" s="47">
        <f>SUM(E30:E36)</f>
        <v>19.774000000000001</v>
      </c>
      <c r="F37" s="48" t="s">
        <v>22</v>
      </c>
      <c r="G37" s="79">
        <f>SUM(G30:G36)</f>
        <v>0</v>
      </c>
    </row>
    <row r="38" spans="1:7" ht="11.25" customHeight="1" x14ac:dyDescent="0.15">
      <c r="A38" s="113" t="s">
        <v>42</v>
      </c>
      <c r="B38" s="89" t="s">
        <v>58</v>
      </c>
      <c r="C38" s="6" t="s">
        <v>2</v>
      </c>
      <c r="D38" s="36">
        <f>98596/10000</f>
        <v>9.8596000000000004</v>
      </c>
      <c r="E38" s="36">
        <f>40544/10000</f>
        <v>4.0544000000000002</v>
      </c>
      <c r="F38" s="83">
        <v>0</v>
      </c>
      <c r="G38" s="30">
        <f>F38*(D38+E38)</f>
        <v>0</v>
      </c>
    </row>
    <row r="39" spans="1:7" ht="11.25" customHeight="1" x14ac:dyDescent="0.15">
      <c r="A39" s="115"/>
      <c r="B39" s="93"/>
      <c r="C39" s="10" t="s">
        <v>5</v>
      </c>
      <c r="D39" s="39">
        <f>2276/10000</f>
        <v>0.2276</v>
      </c>
      <c r="E39" s="39">
        <f>1604/10000</f>
        <v>0.16039999999999999</v>
      </c>
      <c r="F39" s="83">
        <v>0</v>
      </c>
      <c r="G39" s="30">
        <f>F39*(D39+E39)</f>
        <v>0</v>
      </c>
    </row>
    <row r="40" spans="1:7" ht="11.25" customHeight="1" x14ac:dyDescent="0.15">
      <c r="A40" s="115"/>
      <c r="B40" s="93"/>
      <c r="C40" s="10" t="s">
        <v>3</v>
      </c>
      <c r="D40" s="39">
        <f>6708/10000</f>
        <v>0.67079999999999995</v>
      </c>
      <c r="E40" s="39">
        <f>13812/10000</f>
        <v>1.3812</v>
      </c>
      <c r="F40" s="83">
        <v>0</v>
      </c>
      <c r="G40" s="30">
        <f>F40*(D40+E40)</f>
        <v>0</v>
      </c>
    </row>
    <row r="41" spans="1:7" ht="11.25" customHeight="1" x14ac:dyDescent="0.15">
      <c r="A41" s="115"/>
      <c r="B41" s="93"/>
      <c r="C41" s="40" t="s">
        <v>7</v>
      </c>
      <c r="D41" s="39">
        <f>1380/10000</f>
        <v>0.13800000000000001</v>
      </c>
      <c r="E41" s="39">
        <f>49/10000</f>
        <v>4.8999999999999998E-3</v>
      </c>
      <c r="F41" s="83">
        <v>0</v>
      </c>
      <c r="G41" s="30">
        <f t="shared" ref="G41:G42" si="1">F41*(D41+E41)</f>
        <v>0</v>
      </c>
    </row>
    <row r="42" spans="1:7" ht="11.25" customHeight="1" thickBot="1" x14ac:dyDescent="0.2">
      <c r="A42" s="114"/>
      <c r="B42" s="90"/>
      <c r="C42" s="41" t="s">
        <v>4</v>
      </c>
      <c r="D42" s="42">
        <f>8948/10000</f>
        <v>0.89480000000000004</v>
      </c>
      <c r="E42" s="42">
        <f>10360/10000</f>
        <v>1.036</v>
      </c>
      <c r="F42" s="83">
        <v>0</v>
      </c>
      <c r="G42" s="30">
        <f t="shared" si="1"/>
        <v>0</v>
      </c>
    </row>
    <row r="43" spans="1:7" ht="12" thickBot="1" x14ac:dyDescent="0.2">
      <c r="A43" s="43"/>
      <c r="B43" s="44" t="s">
        <v>1</v>
      </c>
      <c r="C43" s="49"/>
      <c r="D43" s="50">
        <f>SUM(D38:D42)</f>
        <v>11.790800000000001</v>
      </c>
      <c r="E43" s="47">
        <f>SUM(E38:E42)</f>
        <v>6.6369000000000007</v>
      </c>
      <c r="F43" s="48" t="s">
        <v>22</v>
      </c>
      <c r="G43" s="79">
        <f>SUM(G38:G42)</f>
        <v>0</v>
      </c>
    </row>
    <row r="44" spans="1:7" x14ac:dyDescent="0.15">
      <c r="A44" s="113" t="s">
        <v>43</v>
      </c>
      <c r="B44" s="89" t="s">
        <v>59</v>
      </c>
      <c r="C44" s="6" t="s">
        <v>2</v>
      </c>
      <c r="D44" s="36">
        <f>153864/10000</f>
        <v>15.3864</v>
      </c>
      <c r="E44" s="36">
        <f>147721/10000</f>
        <v>14.7721</v>
      </c>
      <c r="F44" s="83">
        <v>0</v>
      </c>
      <c r="G44" s="30">
        <f>F44*(D44+E44)</f>
        <v>0</v>
      </c>
    </row>
    <row r="45" spans="1:7" x14ac:dyDescent="0.15">
      <c r="A45" s="115"/>
      <c r="B45" s="93"/>
      <c r="C45" s="37" t="s">
        <v>8</v>
      </c>
      <c r="D45" s="38">
        <f>395/10000</f>
        <v>3.95E-2</v>
      </c>
      <c r="E45" s="38">
        <f>18/10000</f>
        <v>1.8E-3</v>
      </c>
      <c r="F45" s="83">
        <v>0</v>
      </c>
      <c r="G45" s="30">
        <f t="shared" ref="G45:G47" si="2">F45*(D45+E45)</f>
        <v>0</v>
      </c>
    </row>
    <row r="46" spans="1:7" x14ac:dyDescent="0.15">
      <c r="A46" s="115"/>
      <c r="B46" s="93"/>
      <c r="C46" s="10" t="s">
        <v>3</v>
      </c>
      <c r="D46" s="39">
        <f>12129/10000</f>
        <v>1.2129000000000001</v>
      </c>
      <c r="E46" s="39">
        <f>5487/10000</f>
        <v>0.54869999999999997</v>
      </c>
      <c r="F46" s="83">
        <v>0</v>
      </c>
      <c r="G46" s="30">
        <f t="shared" si="2"/>
        <v>0</v>
      </c>
    </row>
    <row r="47" spans="1:7" ht="12" thickBot="1" x14ac:dyDescent="0.2">
      <c r="A47" s="114"/>
      <c r="B47" s="90"/>
      <c r="C47" s="41" t="s">
        <v>4</v>
      </c>
      <c r="D47" s="42">
        <f>8380/10000</f>
        <v>0.83799999999999997</v>
      </c>
      <c r="E47" s="42">
        <f>2024/10000</f>
        <v>0.2024</v>
      </c>
      <c r="F47" s="83">
        <v>0</v>
      </c>
      <c r="G47" s="30">
        <f t="shared" si="2"/>
        <v>0</v>
      </c>
    </row>
    <row r="48" spans="1:7" ht="12" thickBot="1" x14ac:dyDescent="0.2">
      <c r="A48" s="43"/>
      <c r="B48" s="44" t="s">
        <v>1</v>
      </c>
      <c r="C48" s="49"/>
      <c r="D48" s="50">
        <f>SUM(D44:D47)</f>
        <v>17.476800000000001</v>
      </c>
      <c r="E48" s="47">
        <f>SUM(E44:E47)</f>
        <v>15.525</v>
      </c>
      <c r="F48" s="48" t="s">
        <v>22</v>
      </c>
      <c r="G48" s="79">
        <f>SUM(G44:G47)</f>
        <v>0</v>
      </c>
    </row>
    <row r="49" spans="1:7" x14ac:dyDescent="0.15">
      <c r="A49" s="113" t="s">
        <v>44</v>
      </c>
      <c r="B49" s="89" t="s">
        <v>60</v>
      </c>
      <c r="C49" s="6" t="s">
        <v>2</v>
      </c>
      <c r="D49" s="36">
        <f>35410/10000</f>
        <v>3.5409999999999999</v>
      </c>
      <c r="E49" s="36">
        <f>47603/10000</f>
        <v>4.7603</v>
      </c>
      <c r="F49" s="83">
        <v>0</v>
      </c>
      <c r="G49" s="30">
        <f>F49*(D49+E49)</f>
        <v>0</v>
      </c>
    </row>
    <row r="50" spans="1:7" x14ac:dyDescent="0.15">
      <c r="A50" s="115"/>
      <c r="B50" s="93"/>
      <c r="C50" s="10" t="s">
        <v>5</v>
      </c>
      <c r="D50" s="39">
        <f>271/10000</f>
        <v>2.7099999999999999E-2</v>
      </c>
      <c r="E50" s="39">
        <f>266/10000</f>
        <v>2.6599999999999999E-2</v>
      </c>
      <c r="F50" s="83">
        <v>0</v>
      </c>
      <c r="G50" s="30">
        <f t="shared" ref="G50:G54" si="3">F50*(D50+E50)</f>
        <v>0</v>
      </c>
    </row>
    <row r="51" spans="1:7" x14ac:dyDescent="0.15">
      <c r="A51" s="115"/>
      <c r="B51" s="93"/>
      <c r="C51" s="40" t="s">
        <v>6</v>
      </c>
      <c r="D51" s="39">
        <f>361/10000</f>
        <v>3.61E-2</v>
      </c>
      <c r="E51" s="39">
        <v>0</v>
      </c>
      <c r="F51" s="83">
        <v>0</v>
      </c>
      <c r="G51" s="30">
        <f t="shared" si="3"/>
        <v>0</v>
      </c>
    </row>
    <row r="52" spans="1:7" x14ac:dyDescent="0.15">
      <c r="A52" s="115"/>
      <c r="B52" s="93"/>
      <c r="C52" s="10" t="s">
        <v>3</v>
      </c>
      <c r="D52" s="39">
        <f>3133/10000</f>
        <v>0.31330000000000002</v>
      </c>
      <c r="E52" s="39">
        <f>2852/10000</f>
        <v>0.28520000000000001</v>
      </c>
      <c r="F52" s="83">
        <v>0</v>
      </c>
      <c r="G52" s="30">
        <f t="shared" si="3"/>
        <v>0</v>
      </c>
    </row>
    <row r="53" spans="1:7" x14ac:dyDescent="0.15">
      <c r="A53" s="115"/>
      <c r="B53" s="93"/>
      <c r="C53" s="40" t="s">
        <v>7</v>
      </c>
      <c r="D53" s="39">
        <v>0</v>
      </c>
      <c r="E53" s="39">
        <f>114/10000</f>
        <v>1.14E-2</v>
      </c>
      <c r="F53" s="83">
        <v>0</v>
      </c>
      <c r="G53" s="30">
        <f t="shared" si="3"/>
        <v>0</v>
      </c>
    </row>
    <row r="54" spans="1:7" ht="12" thickBot="1" x14ac:dyDescent="0.2">
      <c r="A54" s="114"/>
      <c r="B54" s="90"/>
      <c r="C54" s="41" t="s">
        <v>4</v>
      </c>
      <c r="D54" s="42">
        <f>2739/10000</f>
        <v>0.27389999999999998</v>
      </c>
      <c r="E54" s="42">
        <f>776/10000</f>
        <v>7.7600000000000002E-2</v>
      </c>
      <c r="F54" s="83">
        <v>0</v>
      </c>
      <c r="G54" s="30">
        <f t="shared" si="3"/>
        <v>0</v>
      </c>
    </row>
    <row r="55" spans="1:7" ht="12" thickBot="1" x14ac:dyDescent="0.2">
      <c r="A55" s="43"/>
      <c r="B55" s="44" t="s">
        <v>1</v>
      </c>
      <c r="C55" s="49"/>
      <c r="D55" s="50">
        <f>SUM(D49:D54)</f>
        <v>4.1913999999999998</v>
      </c>
      <c r="E55" s="47">
        <f>SUM(E49:E54)</f>
        <v>5.1611000000000002</v>
      </c>
      <c r="F55" s="48" t="s">
        <v>22</v>
      </c>
      <c r="G55" s="79">
        <f>SUM(G49:G54)</f>
        <v>0</v>
      </c>
    </row>
    <row r="56" spans="1:7" x14ac:dyDescent="0.15">
      <c r="A56" s="113" t="s">
        <v>45</v>
      </c>
      <c r="B56" s="89" t="s">
        <v>61</v>
      </c>
      <c r="C56" s="6" t="s">
        <v>2</v>
      </c>
      <c r="D56" s="36">
        <f>137857/10000</f>
        <v>13.7857</v>
      </c>
      <c r="E56" s="36">
        <f>127146/10000</f>
        <v>12.714600000000001</v>
      </c>
      <c r="F56" s="83">
        <v>0</v>
      </c>
      <c r="G56" s="30">
        <f>F56*(D56+E56)</f>
        <v>0</v>
      </c>
    </row>
    <row r="57" spans="1:7" x14ac:dyDescent="0.15">
      <c r="A57" s="115"/>
      <c r="B57" s="93"/>
      <c r="C57" s="10" t="s">
        <v>5</v>
      </c>
      <c r="D57" s="39">
        <f>39587/10000</f>
        <v>3.9586999999999999</v>
      </c>
      <c r="E57" s="39">
        <f>747/10000</f>
        <v>7.4700000000000003E-2</v>
      </c>
      <c r="F57" s="83">
        <v>0</v>
      </c>
      <c r="G57" s="30">
        <f t="shared" ref="G57:G61" si="4">F57*(D57+E57)</f>
        <v>0</v>
      </c>
    </row>
    <row r="58" spans="1:7" x14ac:dyDescent="0.15">
      <c r="A58" s="115"/>
      <c r="B58" s="93"/>
      <c r="C58" s="40" t="s">
        <v>6</v>
      </c>
      <c r="D58" s="39">
        <f>10214/10000</f>
        <v>1.0214000000000001</v>
      </c>
      <c r="E58" s="39">
        <f>365/10000</f>
        <v>3.6499999999999998E-2</v>
      </c>
      <c r="F58" s="83">
        <v>0</v>
      </c>
      <c r="G58" s="30">
        <f t="shared" si="4"/>
        <v>0</v>
      </c>
    </row>
    <row r="59" spans="1:7" x14ac:dyDescent="0.15">
      <c r="A59" s="115"/>
      <c r="B59" s="93"/>
      <c r="C59" s="10" t="s">
        <v>3</v>
      </c>
      <c r="D59" s="39">
        <f>30528/10000</f>
        <v>3.0528</v>
      </c>
      <c r="E59" s="39">
        <f>18550/10000</f>
        <v>1.855</v>
      </c>
      <c r="F59" s="83">
        <v>0</v>
      </c>
      <c r="G59" s="30">
        <f t="shared" si="4"/>
        <v>0</v>
      </c>
    </row>
    <row r="60" spans="1:7" x14ac:dyDescent="0.15">
      <c r="A60" s="115"/>
      <c r="B60" s="93"/>
      <c r="C60" s="40" t="s">
        <v>7</v>
      </c>
      <c r="D60" s="39">
        <f>308/10000</f>
        <v>3.0800000000000001E-2</v>
      </c>
      <c r="E60" s="39">
        <f>0</f>
        <v>0</v>
      </c>
      <c r="F60" s="83">
        <v>0</v>
      </c>
      <c r="G60" s="30">
        <f t="shared" si="4"/>
        <v>0</v>
      </c>
    </row>
    <row r="61" spans="1:7" ht="12" thickBot="1" x14ac:dyDescent="0.2">
      <c r="A61" s="114"/>
      <c r="B61" s="90"/>
      <c r="C61" s="41" t="s">
        <v>4</v>
      </c>
      <c r="D61" s="42">
        <f>79487/10000</f>
        <v>7.9486999999999997</v>
      </c>
      <c r="E61" s="42">
        <f>26031/10000</f>
        <v>2.6031</v>
      </c>
      <c r="F61" s="83">
        <v>0</v>
      </c>
      <c r="G61" s="30">
        <f t="shared" si="4"/>
        <v>0</v>
      </c>
    </row>
    <row r="62" spans="1:7" ht="12" thickBot="1" x14ac:dyDescent="0.2">
      <c r="A62" s="43"/>
      <c r="B62" s="44" t="s">
        <v>1</v>
      </c>
      <c r="C62" s="49"/>
      <c r="D62" s="50">
        <f>SUM(D56:D61)</f>
        <v>29.798099999999998</v>
      </c>
      <c r="E62" s="47">
        <f>SUM(E56:E61)</f>
        <v>17.283900000000003</v>
      </c>
      <c r="F62" s="48" t="s">
        <v>22</v>
      </c>
      <c r="G62" s="79">
        <f>SUM(G56:G61)</f>
        <v>0</v>
      </c>
    </row>
    <row r="63" spans="1:7" x14ac:dyDescent="0.15">
      <c r="A63" s="113" t="s">
        <v>46</v>
      </c>
      <c r="B63" s="89" t="s">
        <v>62</v>
      </c>
      <c r="C63" s="6" t="s">
        <v>2</v>
      </c>
      <c r="D63" s="36">
        <v>0</v>
      </c>
      <c r="E63" s="36">
        <f>2937/10000</f>
        <v>0.29370000000000002</v>
      </c>
      <c r="F63" s="83">
        <v>0</v>
      </c>
      <c r="G63" s="30">
        <f>F63*(D63+E63)</f>
        <v>0</v>
      </c>
    </row>
    <row r="64" spans="1:7" ht="12" thickBot="1" x14ac:dyDescent="0.2">
      <c r="A64" s="114"/>
      <c r="B64" s="90"/>
      <c r="C64" s="41" t="s">
        <v>4</v>
      </c>
      <c r="D64" s="42">
        <v>0</v>
      </c>
      <c r="E64" s="42">
        <f>487/10000</f>
        <v>4.87E-2</v>
      </c>
      <c r="F64" s="83">
        <v>0</v>
      </c>
      <c r="G64" s="30">
        <f t="shared" ref="G64" si="5">F64*(D64+E64)</f>
        <v>0</v>
      </c>
    </row>
    <row r="65" spans="1:7" ht="12" thickBot="1" x14ac:dyDescent="0.2">
      <c r="A65" s="43"/>
      <c r="B65" s="44" t="s">
        <v>1</v>
      </c>
      <c r="C65" s="49"/>
      <c r="D65" s="50">
        <f>SUM(D63:D64)</f>
        <v>0</v>
      </c>
      <c r="E65" s="47">
        <f>SUM(E63:E64)</f>
        <v>0.34240000000000004</v>
      </c>
      <c r="F65" s="48" t="s">
        <v>22</v>
      </c>
      <c r="G65" s="79">
        <f>SUM(G63:G64)</f>
        <v>0</v>
      </c>
    </row>
    <row r="66" spans="1:7" x14ac:dyDescent="0.15">
      <c r="A66" s="113" t="s">
        <v>47</v>
      </c>
      <c r="B66" s="89" t="s">
        <v>63</v>
      </c>
      <c r="C66" s="6" t="s">
        <v>2</v>
      </c>
      <c r="D66" s="36">
        <f>323638/10000</f>
        <v>32.363799999999998</v>
      </c>
      <c r="E66" s="36">
        <f>219204/10000</f>
        <v>21.920400000000001</v>
      </c>
      <c r="F66" s="83">
        <v>0</v>
      </c>
      <c r="G66" s="30">
        <f>F66*(D66+E66)</f>
        <v>0</v>
      </c>
    </row>
    <row r="67" spans="1:7" x14ac:dyDescent="0.15">
      <c r="A67" s="115"/>
      <c r="B67" s="93"/>
      <c r="C67" s="10" t="s">
        <v>5</v>
      </c>
      <c r="D67" s="39">
        <f>11326/10000</f>
        <v>1.1326000000000001</v>
      </c>
      <c r="E67" s="39">
        <f>580/10000</f>
        <v>5.8000000000000003E-2</v>
      </c>
      <c r="F67" s="83">
        <v>0</v>
      </c>
      <c r="G67" s="30">
        <f t="shared" ref="G67:G70" si="6">F67*(D67+E67)</f>
        <v>0</v>
      </c>
    </row>
    <row r="68" spans="1:7" x14ac:dyDescent="0.15">
      <c r="A68" s="115"/>
      <c r="B68" s="93"/>
      <c r="C68" s="40" t="s">
        <v>6</v>
      </c>
      <c r="D68" s="39">
        <f>21559/10000</f>
        <v>2.1558999999999999</v>
      </c>
      <c r="E68" s="39">
        <f>8312/10000</f>
        <v>0.83120000000000005</v>
      </c>
      <c r="F68" s="83">
        <v>0</v>
      </c>
      <c r="G68" s="30">
        <f t="shared" si="6"/>
        <v>0</v>
      </c>
    </row>
    <row r="69" spans="1:7" x14ac:dyDescent="0.15">
      <c r="A69" s="115"/>
      <c r="B69" s="93"/>
      <c r="C69" s="40" t="s">
        <v>7</v>
      </c>
      <c r="D69" s="39">
        <f>182/10000</f>
        <v>1.8200000000000001E-2</v>
      </c>
      <c r="E69" s="39">
        <f>9/10000</f>
        <v>8.9999999999999998E-4</v>
      </c>
      <c r="F69" s="83">
        <v>0</v>
      </c>
      <c r="G69" s="30">
        <f t="shared" si="6"/>
        <v>0</v>
      </c>
    </row>
    <row r="70" spans="1:7" ht="12" thickBot="1" x14ac:dyDescent="0.2">
      <c r="A70" s="114"/>
      <c r="B70" s="90"/>
      <c r="C70" s="41" t="s">
        <v>4</v>
      </c>
      <c r="D70" s="42">
        <f>34907/10000</f>
        <v>3.4906999999999999</v>
      </c>
      <c r="E70" s="42">
        <f>3805/10000</f>
        <v>0.3805</v>
      </c>
      <c r="F70" s="83">
        <v>0</v>
      </c>
      <c r="G70" s="30">
        <f t="shared" si="6"/>
        <v>0</v>
      </c>
    </row>
    <row r="71" spans="1:7" x14ac:dyDescent="0.15">
      <c r="A71" s="43"/>
      <c r="B71" s="51" t="s">
        <v>1</v>
      </c>
      <c r="C71" s="49"/>
      <c r="D71" s="50">
        <f>SUM(D66:D70)</f>
        <v>39.161199999999994</v>
      </c>
      <c r="E71" s="47">
        <f>SUM(E66:E70)</f>
        <v>23.191000000000003</v>
      </c>
      <c r="F71" s="48" t="s">
        <v>22</v>
      </c>
      <c r="G71" s="79">
        <f>SUM(G66:G70)</f>
        <v>0</v>
      </c>
    </row>
    <row r="72" spans="1:7" x14ac:dyDescent="0.15">
      <c r="A72" s="113" t="s">
        <v>48</v>
      </c>
      <c r="B72" s="89" t="s">
        <v>64</v>
      </c>
      <c r="C72" s="6" t="s">
        <v>2</v>
      </c>
      <c r="D72" s="36">
        <f>13028/10000</f>
        <v>1.3028</v>
      </c>
      <c r="E72" s="36">
        <f>15964/10000</f>
        <v>1.5964</v>
      </c>
      <c r="F72" s="83">
        <v>0</v>
      </c>
      <c r="G72" s="30">
        <f>F72*(D72+E72)</f>
        <v>0</v>
      </c>
    </row>
    <row r="73" spans="1:7" x14ac:dyDescent="0.15">
      <c r="A73" s="115"/>
      <c r="B73" s="93"/>
      <c r="C73" s="10" t="s">
        <v>3</v>
      </c>
      <c r="D73" s="39">
        <f>6294/10000</f>
        <v>0.62939999999999996</v>
      </c>
      <c r="E73" s="39">
        <f>320/10000</f>
        <v>3.2000000000000001E-2</v>
      </c>
      <c r="F73" s="83">
        <v>0</v>
      </c>
      <c r="G73" s="30">
        <f t="shared" ref="G73:G74" si="7">F73*(D73+E73)</f>
        <v>0</v>
      </c>
    </row>
    <row r="74" spans="1:7" ht="12" thickBot="1" x14ac:dyDescent="0.2">
      <c r="A74" s="114"/>
      <c r="B74" s="90"/>
      <c r="C74" s="41" t="s">
        <v>4</v>
      </c>
      <c r="D74" s="42">
        <f>1275/10000</f>
        <v>0.1275</v>
      </c>
      <c r="E74" s="42">
        <f>5201/10000</f>
        <v>0.52010000000000001</v>
      </c>
      <c r="F74" s="83">
        <v>0</v>
      </c>
      <c r="G74" s="30">
        <f t="shared" si="7"/>
        <v>0</v>
      </c>
    </row>
    <row r="75" spans="1:7" ht="12" thickBot="1" x14ac:dyDescent="0.2">
      <c r="A75" s="43"/>
      <c r="B75" s="44" t="s">
        <v>1</v>
      </c>
      <c r="C75" s="49"/>
      <c r="D75" s="50">
        <f>SUM(D72:D74)</f>
        <v>2.0596999999999999</v>
      </c>
      <c r="E75" s="47">
        <f>SUM(E72:E74)</f>
        <v>2.1485000000000003</v>
      </c>
      <c r="F75" s="48" t="s">
        <v>22</v>
      </c>
      <c r="G75" s="79">
        <f>SUM(G72:G74)</f>
        <v>0</v>
      </c>
    </row>
    <row r="76" spans="1:7" x14ac:dyDescent="0.15">
      <c r="A76" s="113" t="s">
        <v>49</v>
      </c>
      <c r="B76" s="89" t="s">
        <v>65</v>
      </c>
      <c r="C76" s="6" t="s">
        <v>2</v>
      </c>
      <c r="D76" s="36">
        <f>115016/10000</f>
        <v>11.5016</v>
      </c>
      <c r="E76" s="36">
        <f>50310/10000</f>
        <v>5.0309999999999997</v>
      </c>
      <c r="F76" s="83">
        <v>0</v>
      </c>
      <c r="G76" s="30">
        <f>F76*(D76+E76)</f>
        <v>0</v>
      </c>
    </row>
    <row r="77" spans="1:7" x14ac:dyDescent="0.15">
      <c r="A77" s="115"/>
      <c r="B77" s="93"/>
      <c r="C77" s="37" t="s">
        <v>8</v>
      </c>
      <c r="D77" s="38">
        <f>132/10000</f>
        <v>1.32E-2</v>
      </c>
      <c r="E77" s="38">
        <f>87/10000</f>
        <v>8.6999999999999994E-3</v>
      </c>
      <c r="F77" s="83">
        <v>0</v>
      </c>
      <c r="G77" s="30">
        <f t="shared" ref="G77:G82" si="8">F77*(D77+E77)</f>
        <v>0</v>
      </c>
    </row>
    <row r="78" spans="1:7" x14ac:dyDescent="0.15">
      <c r="A78" s="115"/>
      <c r="B78" s="93"/>
      <c r="C78" s="10" t="s">
        <v>5</v>
      </c>
      <c r="D78" s="39">
        <f>2946/10000</f>
        <v>0.29459999999999997</v>
      </c>
      <c r="E78" s="39">
        <f>4046/10000</f>
        <v>0.40460000000000002</v>
      </c>
      <c r="F78" s="83">
        <v>0</v>
      </c>
      <c r="G78" s="30">
        <f t="shared" si="8"/>
        <v>0</v>
      </c>
    </row>
    <row r="79" spans="1:7" x14ac:dyDescent="0.15">
      <c r="A79" s="115"/>
      <c r="B79" s="93"/>
      <c r="C79" s="40" t="s">
        <v>6</v>
      </c>
      <c r="D79" s="39">
        <f>3444/10000</f>
        <v>0.34439999999999998</v>
      </c>
      <c r="E79" s="39">
        <f>6503/10000</f>
        <v>0.65029999999999999</v>
      </c>
      <c r="F79" s="83">
        <v>0</v>
      </c>
      <c r="G79" s="30">
        <f t="shared" si="8"/>
        <v>0</v>
      </c>
    </row>
    <row r="80" spans="1:7" x14ac:dyDescent="0.15">
      <c r="A80" s="115"/>
      <c r="B80" s="93"/>
      <c r="C80" s="10" t="s">
        <v>3</v>
      </c>
      <c r="D80" s="39">
        <f>3832/10000</f>
        <v>0.38319999999999999</v>
      </c>
      <c r="E80" s="39">
        <f>5453/10000</f>
        <v>0.54530000000000001</v>
      </c>
      <c r="F80" s="83">
        <v>0</v>
      </c>
      <c r="G80" s="30">
        <f t="shared" si="8"/>
        <v>0</v>
      </c>
    </row>
    <row r="81" spans="1:10" x14ac:dyDescent="0.15">
      <c r="A81" s="115"/>
      <c r="B81" s="93"/>
      <c r="C81" s="40" t="s">
        <v>7</v>
      </c>
      <c r="D81" s="39">
        <f>1686/10000</f>
        <v>0.1686</v>
      </c>
      <c r="E81" s="39">
        <f>0</f>
        <v>0</v>
      </c>
      <c r="F81" s="83">
        <v>0</v>
      </c>
      <c r="G81" s="30">
        <f t="shared" si="8"/>
        <v>0</v>
      </c>
    </row>
    <row r="82" spans="1:10" ht="12" thickBot="1" x14ac:dyDescent="0.2">
      <c r="A82" s="114"/>
      <c r="B82" s="90"/>
      <c r="C82" s="41" t="s">
        <v>4</v>
      </c>
      <c r="D82" s="42">
        <f>6002/10000</f>
        <v>0.60019999999999996</v>
      </c>
      <c r="E82" s="42">
        <f>918/10000</f>
        <v>9.1800000000000007E-2</v>
      </c>
      <c r="F82" s="83">
        <v>0</v>
      </c>
      <c r="G82" s="30">
        <f t="shared" si="8"/>
        <v>0</v>
      </c>
    </row>
    <row r="83" spans="1:10" ht="12" thickBot="1" x14ac:dyDescent="0.2">
      <c r="A83" s="43"/>
      <c r="B83" s="44" t="s">
        <v>1</v>
      </c>
      <c r="C83" s="49"/>
      <c r="D83" s="50">
        <f>SUM(D76:D82)</f>
        <v>13.3058</v>
      </c>
      <c r="E83" s="47">
        <f>SUM(E76:E82)</f>
        <v>6.7317</v>
      </c>
      <c r="F83" s="48" t="s">
        <v>22</v>
      </c>
      <c r="G83" s="79">
        <f>SUM(G76:G82)</f>
        <v>0</v>
      </c>
    </row>
    <row r="84" spans="1:10" ht="11.25" customHeight="1" x14ac:dyDescent="0.15">
      <c r="A84" s="113" t="s">
        <v>50</v>
      </c>
      <c r="B84" s="89" t="s">
        <v>66</v>
      </c>
      <c r="C84" s="6" t="s">
        <v>2</v>
      </c>
      <c r="D84" s="36">
        <f>54444/10000</f>
        <v>5.4443999999999999</v>
      </c>
      <c r="E84" s="36">
        <f>14058/10000</f>
        <v>1.4057999999999999</v>
      </c>
      <c r="F84" s="83">
        <v>0</v>
      </c>
      <c r="G84" s="30">
        <f>F84*(D84+E84)</f>
        <v>0</v>
      </c>
    </row>
    <row r="85" spans="1:10" x14ac:dyDescent="0.15">
      <c r="A85" s="115"/>
      <c r="B85" s="93"/>
      <c r="C85" s="10" t="s">
        <v>3</v>
      </c>
      <c r="D85" s="39">
        <f>18255/10000</f>
        <v>1.8254999999999999</v>
      </c>
      <c r="E85" s="39">
        <f>6845/10000</f>
        <v>0.6845</v>
      </c>
      <c r="F85" s="83">
        <v>0</v>
      </c>
      <c r="G85" s="30">
        <f t="shared" ref="G85:G86" si="9">F85*(D85+E85)</f>
        <v>0</v>
      </c>
    </row>
    <row r="86" spans="1:10" ht="12" thickBot="1" x14ac:dyDescent="0.2">
      <c r="A86" s="114"/>
      <c r="B86" s="90"/>
      <c r="C86" s="41" t="s">
        <v>4</v>
      </c>
      <c r="D86" s="42">
        <f>5581/10000</f>
        <v>0.55810000000000004</v>
      </c>
      <c r="E86" s="42">
        <f>579/10000</f>
        <v>5.79E-2</v>
      </c>
      <c r="F86" s="83">
        <v>0</v>
      </c>
      <c r="G86" s="30">
        <f t="shared" si="9"/>
        <v>0</v>
      </c>
    </row>
    <row r="87" spans="1:10" ht="12" thickBot="1" x14ac:dyDescent="0.2">
      <c r="A87" s="43"/>
      <c r="B87" s="44" t="s">
        <v>1</v>
      </c>
      <c r="C87" s="49"/>
      <c r="D87" s="50">
        <f>SUM(D84:D86)</f>
        <v>7.8279999999999994</v>
      </c>
      <c r="E87" s="47">
        <f>SUM(E84:E86)</f>
        <v>2.1482000000000001</v>
      </c>
      <c r="F87" s="48" t="s">
        <v>22</v>
      </c>
      <c r="G87" s="79">
        <f>SUM(G84:G86)</f>
        <v>0</v>
      </c>
    </row>
    <row r="88" spans="1:10" x14ac:dyDescent="0.15">
      <c r="A88" s="113" t="s">
        <v>51</v>
      </c>
      <c r="B88" s="89" t="s">
        <v>67</v>
      </c>
      <c r="C88" s="6" t="s">
        <v>2</v>
      </c>
      <c r="D88" s="36">
        <f>11286/10000</f>
        <v>1.1286</v>
      </c>
      <c r="E88" s="36">
        <v>0</v>
      </c>
      <c r="F88" s="83">
        <v>0</v>
      </c>
      <c r="G88" s="30">
        <f>F88*(D88+E88)</f>
        <v>0</v>
      </c>
    </row>
    <row r="89" spans="1:10" ht="12" thickBot="1" x14ac:dyDescent="0.2">
      <c r="A89" s="114"/>
      <c r="B89" s="90"/>
      <c r="C89" s="41" t="s">
        <v>4</v>
      </c>
      <c r="D89" s="42">
        <f>502/10000</f>
        <v>5.0200000000000002E-2</v>
      </c>
      <c r="E89" s="42">
        <v>0</v>
      </c>
      <c r="F89" s="83">
        <v>0</v>
      </c>
      <c r="G89" s="30">
        <f t="shared" ref="G89" si="10">F89*(D89+E89)</f>
        <v>0</v>
      </c>
    </row>
    <row r="90" spans="1:10" ht="12" thickBot="1" x14ac:dyDescent="0.2">
      <c r="A90" s="43"/>
      <c r="B90" s="44" t="s">
        <v>1</v>
      </c>
      <c r="C90" s="49"/>
      <c r="D90" s="50">
        <f>SUM(D88:D89)</f>
        <v>1.1788000000000001</v>
      </c>
      <c r="E90" s="47">
        <f>SUM(E88:E89)</f>
        <v>0</v>
      </c>
      <c r="F90" s="48" t="s">
        <v>22</v>
      </c>
      <c r="G90" s="79">
        <f>SUM(G88:G89)</f>
        <v>0</v>
      </c>
    </row>
    <row r="91" spans="1:10" ht="11.25" customHeight="1" x14ac:dyDescent="0.15">
      <c r="A91" s="113" t="s">
        <v>52</v>
      </c>
      <c r="B91" s="89" t="s">
        <v>68</v>
      </c>
      <c r="C91" s="6" t="s">
        <v>2</v>
      </c>
      <c r="D91" s="36">
        <f>92873/10000</f>
        <v>9.2873000000000001</v>
      </c>
      <c r="E91" s="36">
        <f>37854/10000</f>
        <v>3.7854000000000001</v>
      </c>
      <c r="F91" s="83">
        <v>0</v>
      </c>
      <c r="G91" s="30">
        <f>F91*(E91+D91)</f>
        <v>0</v>
      </c>
    </row>
    <row r="92" spans="1:10" ht="11.25" customHeight="1" x14ac:dyDescent="0.15">
      <c r="A92" s="115"/>
      <c r="B92" s="93"/>
      <c r="C92" s="37" t="s">
        <v>8</v>
      </c>
      <c r="D92" s="38">
        <f>273/10000</f>
        <v>2.7300000000000001E-2</v>
      </c>
      <c r="E92" s="38">
        <f>195/10000</f>
        <v>1.95E-2</v>
      </c>
      <c r="F92" s="83">
        <v>0</v>
      </c>
      <c r="G92" s="30">
        <f t="shared" ref="G92:G96" si="11">F92*(E92+D92)</f>
        <v>0</v>
      </c>
    </row>
    <row r="93" spans="1:10" ht="11.25" customHeight="1" x14ac:dyDescent="0.15">
      <c r="A93" s="115"/>
      <c r="B93" s="93"/>
      <c r="C93" s="10" t="s">
        <v>5</v>
      </c>
      <c r="D93" s="39">
        <f>1221/10000</f>
        <v>0.1221</v>
      </c>
      <c r="E93" s="39">
        <f>968/10000</f>
        <v>9.6799999999999997E-2</v>
      </c>
      <c r="F93" s="83">
        <v>0</v>
      </c>
      <c r="G93" s="30">
        <f t="shared" si="11"/>
        <v>0</v>
      </c>
    </row>
    <row r="94" spans="1:10" ht="11.25" customHeight="1" x14ac:dyDescent="0.15">
      <c r="A94" s="115"/>
      <c r="B94" s="93"/>
      <c r="C94" s="40" t="s">
        <v>6</v>
      </c>
      <c r="D94" s="39">
        <f>2757/10000</f>
        <v>0.2757</v>
      </c>
      <c r="E94" s="39">
        <f>680/10000</f>
        <v>6.8000000000000005E-2</v>
      </c>
      <c r="F94" s="83">
        <v>0</v>
      </c>
      <c r="G94" s="30">
        <f t="shared" si="11"/>
        <v>0</v>
      </c>
      <c r="J94" s="52"/>
    </row>
    <row r="95" spans="1:10" ht="11.25" customHeight="1" x14ac:dyDescent="0.15">
      <c r="A95" s="115"/>
      <c r="B95" s="93"/>
      <c r="C95" s="10" t="s">
        <v>3</v>
      </c>
      <c r="D95" s="39">
        <f>39136/10000</f>
        <v>3.9136000000000002</v>
      </c>
      <c r="E95" s="39">
        <f>22930/10000</f>
        <v>2.2930000000000001</v>
      </c>
      <c r="F95" s="83">
        <v>0</v>
      </c>
      <c r="G95" s="30">
        <f t="shared" si="11"/>
        <v>0</v>
      </c>
    </row>
    <row r="96" spans="1:10" ht="11.25" customHeight="1" thickBot="1" x14ac:dyDescent="0.2">
      <c r="A96" s="114"/>
      <c r="B96" s="90"/>
      <c r="C96" s="41" t="s">
        <v>4</v>
      </c>
      <c r="D96" s="42">
        <f>33102/10000</f>
        <v>3.3102</v>
      </c>
      <c r="E96" s="42">
        <f>4942/10000</f>
        <v>0.49419999999999997</v>
      </c>
      <c r="F96" s="83">
        <v>0</v>
      </c>
      <c r="G96" s="30">
        <f t="shared" si="11"/>
        <v>0</v>
      </c>
    </row>
    <row r="97" spans="1:10" ht="11.25" customHeight="1" thickBot="1" x14ac:dyDescent="0.2">
      <c r="A97" s="53"/>
      <c r="B97" s="44" t="s">
        <v>1</v>
      </c>
      <c r="C97" s="54"/>
      <c r="D97" s="55">
        <f>SUM(D91:D96)</f>
        <v>16.936199999999999</v>
      </c>
      <c r="E97" s="55">
        <f>SUM(E91:E96)</f>
        <v>6.7569000000000008</v>
      </c>
      <c r="F97" s="48" t="s">
        <v>22</v>
      </c>
      <c r="G97" s="79">
        <f>SUM(G91:G96)</f>
        <v>0</v>
      </c>
      <c r="H97" s="80"/>
    </row>
    <row r="98" spans="1:10" ht="11.25" customHeight="1" x14ac:dyDescent="0.15">
      <c r="A98" s="132"/>
      <c r="B98" s="94" t="s">
        <v>1</v>
      </c>
      <c r="C98" s="6" t="s">
        <v>2</v>
      </c>
      <c r="D98" s="38">
        <f>D30+D38+D44+D49+D56+D63+D66+D72+D76+D84+D88+D91</f>
        <v>133.99700000000001</v>
      </c>
      <c r="E98" s="38">
        <f>E30+E38+E44+E49+E56+E63+E66+E72+E76+E84+E88+E91</f>
        <v>89.357200000000006</v>
      </c>
      <c r="F98" s="97">
        <f>G30+G38+G44+G49+G56+G63+G66+G72+G76+G84+G88+G91</f>
        <v>0</v>
      </c>
      <c r="G98" s="98"/>
      <c r="H98" s="56"/>
    </row>
    <row r="99" spans="1:10" ht="11.25" customHeight="1" x14ac:dyDescent="0.15">
      <c r="A99" s="133"/>
      <c r="B99" s="95"/>
      <c r="C99" s="37" t="s">
        <v>8</v>
      </c>
      <c r="D99" s="39">
        <f>D31+D45+D77+D92</f>
        <v>0.18099999999999999</v>
      </c>
      <c r="E99" s="39">
        <f>E31+E45+E77+E92</f>
        <v>7.2500000000000009E-2</v>
      </c>
      <c r="F99" s="97">
        <f>G31+G45+G77+G92</f>
        <v>0</v>
      </c>
      <c r="G99" s="98"/>
    </row>
    <row r="100" spans="1:10" ht="11.25" customHeight="1" x14ac:dyDescent="0.15">
      <c r="A100" s="133"/>
      <c r="B100" s="95"/>
      <c r="C100" s="10" t="s">
        <v>5</v>
      </c>
      <c r="D100" s="39">
        <f>D32+D39+D50+D57+D67+D78+D93</f>
        <v>7.4302999999999999</v>
      </c>
      <c r="E100" s="39">
        <f>E32+E39+E50+E57+E67+E78+E93</f>
        <v>0.91589999999999994</v>
      </c>
      <c r="F100" s="97">
        <f>G32+G39+G50+G57+G67+G78+G93</f>
        <v>0</v>
      </c>
      <c r="G100" s="98"/>
    </row>
    <row r="101" spans="1:10" ht="11.25" customHeight="1" x14ac:dyDescent="0.15">
      <c r="A101" s="133"/>
      <c r="B101" s="95"/>
      <c r="C101" s="40" t="s">
        <v>6</v>
      </c>
      <c r="D101" s="39">
        <f>D33+D51+D58+D68+D79+D94</f>
        <v>4.7823000000000002</v>
      </c>
      <c r="E101" s="39">
        <f>E33+E51+E58+E68+E79+E94</f>
        <v>1.6037000000000001</v>
      </c>
      <c r="F101" s="97">
        <f>G33+G51+G58+G68+G79+G94</f>
        <v>0</v>
      </c>
      <c r="G101" s="98"/>
    </row>
    <row r="102" spans="1:10" ht="11.25" customHeight="1" x14ac:dyDescent="0.15">
      <c r="A102" s="133"/>
      <c r="B102" s="95"/>
      <c r="C102" s="10" t="s">
        <v>3</v>
      </c>
      <c r="D102" s="39">
        <f>D34+D40+D46+D52+D59+D73+D80+D85+D95</f>
        <v>13.892200000000001</v>
      </c>
      <c r="E102" s="39">
        <f>E34+E40+E46+E52+E59+E73+E80+E85+E95</f>
        <v>7.7362000000000002</v>
      </c>
      <c r="F102" s="97">
        <f>G34+G40+G46+G52+G59+G73+G80+G85+G95</f>
        <v>0</v>
      </c>
      <c r="G102" s="98"/>
      <c r="I102" s="57"/>
    </row>
    <row r="103" spans="1:10" ht="11.25" customHeight="1" x14ac:dyDescent="0.15">
      <c r="A103" s="133"/>
      <c r="B103" s="95"/>
      <c r="C103" s="40" t="s">
        <v>7</v>
      </c>
      <c r="D103" s="39">
        <f>D35+D41+D53+D60+D69+D81</f>
        <v>0.38539999999999996</v>
      </c>
      <c r="E103" s="39">
        <f>E35+E41+E53+E60+E69+E81</f>
        <v>1.7200000000000003E-2</v>
      </c>
      <c r="F103" s="97">
        <f>G35+G41+G53+G60+G69+G81</f>
        <v>0</v>
      </c>
      <c r="G103" s="98"/>
    </row>
    <row r="104" spans="1:10" ht="11.25" customHeight="1" thickBot="1" x14ac:dyDescent="0.2">
      <c r="A104" s="133"/>
      <c r="B104" s="95"/>
      <c r="C104" s="41" t="s">
        <v>4</v>
      </c>
      <c r="D104" s="42">
        <f>D36+D42+D47+D54+D61+D64+D70+D74+D82+D86+D89+D96</f>
        <v>21.254100000000001</v>
      </c>
      <c r="E104" s="42">
        <f>E36+E42+E47+E54+E61+E64+E70+E74+E82+E86+E89+E96</f>
        <v>5.9969000000000001</v>
      </c>
      <c r="F104" s="97">
        <f>G36+G42+G47+G54+G61+G64+G70+G74+G82+G86+G89+G96</f>
        <v>0</v>
      </c>
      <c r="G104" s="98"/>
      <c r="J104" s="58"/>
    </row>
    <row r="105" spans="1:10" ht="11.25" customHeight="1" thickBot="1" x14ac:dyDescent="0.2">
      <c r="A105" s="76"/>
      <c r="B105" s="91" t="s">
        <v>69</v>
      </c>
      <c r="C105" s="92"/>
      <c r="D105" s="59">
        <f>SUM(D98:D104)</f>
        <v>181.92230000000001</v>
      </c>
      <c r="E105" s="60">
        <f>SUM(E98:E104)</f>
        <v>105.6996</v>
      </c>
      <c r="F105" s="61" t="s">
        <v>22</v>
      </c>
      <c r="G105" s="62">
        <f>SUM(F98:G104)</f>
        <v>0</v>
      </c>
    </row>
    <row r="106" spans="1:10" ht="12" thickBot="1" x14ac:dyDescent="0.2">
      <c r="A106" s="63"/>
      <c r="B106" s="64"/>
      <c r="C106" s="64"/>
      <c r="D106" s="64"/>
      <c r="E106" s="64"/>
      <c r="F106" s="64"/>
      <c r="G106" s="65"/>
    </row>
    <row r="107" spans="1:10" ht="15.75" customHeight="1" thickBot="1" x14ac:dyDescent="0.2">
      <c r="A107" s="66"/>
      <c r="B107" s="96" t="s">
        <v>55</v>
      </c>
      <c r="C107" s="96"/>
      <c r="D107" s="96"/>
      <c r="E107" s="96"/>
      <c r="F107" s="96"/>
      <c r="G107" s="67">
        <f>G105+G25+G20+G16+G12+G8</f>
        <v>0</v>
      </c>
    </row>
    <row r="108" spans="1:10" ht="12" thickBot="1" x14ac:dyDescent="0.2">
      <c r="A108" s="68"/>
      <c r="B108" s="68"/>
      <c r="D108" s="35"/>
      <c r="E108" s="35"/>
      <c r="F108" s="52"/>
      <c r="G108" s="52"/>
    </row>
    <row r="109" spans="1:10" ht="30" customHeight="1" thickBot="1" x14ac:dyDescent="0.2">
      <c r="A109" s="69" t="s">
        <v>56</v>
      </c>
      <c r="B109" s="99" t="s">
        <v>54</v>
      </c>
      <c r="C109" s="99"/>
      <c r="D109" s="99"/>
      <c r="E109" s="99"/>
      <c r="F109" s="99"/>
      <c r="G109" s="70" t="s">
        <v>85</v>
      </c>
      <c r="H109" s="71"/>
    </row>
    <row r="110" spans="1:10" ht="11.25" customHeight="1" x14ac:dyDescent="0.15">
      <c r="A110" s="72">
        <v>1</v>
      </c>
      <c r="B110" s="84" t="s">
        <v>17</v>
      </c>
      <c r="C110" s="85"/>
      <c r="D110" s="85"/>
      <c r="E110" s="85"/>
      <c r="F110" s="85"/>
      <c r="G110" s="77">
        <f>G8</f>
        <v>0</v>
      </c>
      <c r="H110" s="73"/>
    </row>
    <row r="111" spans="1:10" ht="11.25" customHeight="1" x14ac:dyDescent="0.15">
      <c r="A111" s="72">
        <v>2</v>
      </c>
      <c r="B111" s="86" t="s">
        <v>99</v>
      </c>
      <c r="C111" s="87"/>
      <c r="D111" s="87"/>
      <c r="E111" s="87"/>
      <c r="F111" s="87"/>
      <c r="G111" s="78">
        <f>G12</f>
        <v>0</v>
      </c>
      <c r="H111" s="73"/>
    </row>
    <row r="112" spans="1:10" ht="11.25" customHeight="1" x14ac:dyDescent="0.15">
      <c r="A112" s="72">
        <v>3</v>
      </c>
      <c r="B112" s="86" t="s">
        <v>26</v>
      </c>
      <c r="C112" s="87"/>
      <c r="D112" s="87"/>
      <c r="E112" s="87"/>
      <c r="F112" s="87"/>
      <c r="G112" s="78">
        <f>G16</f>
        <v>0</v>
      </c>
      <c r="H112" s="73"/>
    </row>
    <row r="113" spans="1:10" ht="11.25" customHeight="1" x14ac:dyDescent="0.15">
      <c r="A113" s="72">
        <v>4</v>
      </c>
      <c r="B113" s="86" t="s">
        <v>23</v>
      </c>
      <c r="C113" s="87"/>
      <c r="D113" s="87"/>
      <c r="E113" s="87"/>
      <c r="F113" s="87"/>
      <c r="G113" s="78">
        <f>G20</f>
        <v>0</v>
      </c>
      <c r="H113" s="73"/>
    </row>
    <row r="114" spans="1:10" ht="11.25" customHeight="1" x14ac:dyDescent="0.15">
      <c r="A114" s="72">
        <v>5</v>
      </c>
      <c r="B114" s="86" t="s">
        <v>25</v>
      </c>
      <c r="C114" s="87"/>
      <c r="D114" s="87"/>
      <c r="E114" s="87"/>
      <c r="F114" s="87"/>
      <c r="G114" s="78">
        <f>G25</f>
        <v>0</v>
      </c>
      <c r="H114" s="73"/>
    </row>
    <row r="115" spans="1:10" ht="11.25" customHeight="1" x14ac:dyDescent="0.15">
      <c r="A115" s="74" t="s">
        <v>41</v>
      </c>
      <c r="B115" s="86" t="s">
        <v>70</v>
      </c>
      <c r="C115" s="87"/>
      <c r="D115" s="87"/>
      <c r="E115" s="87"/>
      <c r="F115" s="87"/>
      <c r="G115" s="78">
        <f>G37</f>
        <v>0</v>
      </c>
      <c r="H115" s="73"/>
    </row>
    <row r="116" spans="1:10" ht="11.25" customHeight="1" x14ac:dyDescent="0.15">
      <c r="A116" s="74" t="s">
        <v>42</v>
      </c>
      <c r="B116" s="86" t="s">
        <v>71</v>
      </c>
      <c r="C116" s="87"/>
      <c r="D116" s="87"/>
      <c r="E116" s="87"/>
      <c r="F116" s="87"/>
      <c r="G116" s="78">
        <f>G43</f>
        <v>0</v>
      </c>
      <c r="H116" s="73"/>
      <c r="J116" s="52"/>
    </row>
    <row r="117" spans="1:10" ht="11.25" customHeight="1" x14ac:dyDescent="0.15">
      <c r="A117" s="74" t="s">
        <v>43</v>
      </c>
      <c r="B117" s="86" t="s">
        <v>72</v>
      </c>
      <c r="C117" s="87"/>
      <c r="D117" s="87"/>
      <c r="E117" s="87"/>
      <c r="F117" s="87"/>
      <c r="G117" s="78">
        <f>G48</f>
        <v>0</v>
      </c>
      <c r="H117" s="73"/>
    </row>
    <row r="118" spans="1:10" ht="11.25" customHeight="1" x14ac:dyDescent="0.15">
      <c r="A118" s="74" t="s">
        <v>44</v>
      </c>
      <c r="B118" s="86" t="s">
        <v>73</v>
      </c>
      <c r="C118" s="87"/>
      <c r="D118" s="87"/>
      <c r="E118" s="87"/>
      <c r="F118" s="87"/>
      <c r="G118" s="78">
        <f>G55</f>
        <v>0</v>
      </c>
      <c r="H118" s="73"/>
    </row>
    <row r="119" spans="1:10" ht="11.25" customHeight="1" x14ac:dyDescent="0.15">
      <c r="A119" s="74" t="s">
        <v>45</v>
      </c>
      <c r="B119" s="86" t="s">
        <v>74</v>
      </c>
      <c r="C119" s="87"/>
      <c r="D119" s="87"/>
      <c r="E119" s="87"/>
      <c r="F119" s="87"/>
      <c r="G119" s="78">
        <f>G62</f>
        <v>0</v>
      </c>
      <c r="H119" s="73"/>
    </row>
    <row r="120" spans="1:10" ht="11.25" customHeight="1" x14ac:dyDescent="0.15">
      <c r="A120" s="74" t="s">
        <v>46</v>
      </c>
      <c r="B120" s="86" t="s">
        <v>75</v>
      </c>
      <c r="C120" s="87"/>
      <c r="D120" s="87"/>
      <c r="E120" s="87"/>
      <c r="F120" s="87"/>
      <c r="G120" s="78">
        <f>G65</f>
        <v>0</v>
      </c>
      <c r="H120" s="73"/>
    </row>
    <row r="121" spans="1:10" ht="11.25" customHeight="1" x14ac:dyDescent="0.15">
      <c r="A121" s="74" t="s">
        <v>47</v>
      </c>
      <c r="B121" s="86" t="s">
        <v>76</v>
      </c>
      <c r="C121" s="87"/>
      <c r="D121" s="87"/>
      <c r="E121" s="87"/>
      <c r="F121" s="87"/>
      <c r="G121" s="78">
        <f>G71</f>
        <v>0</v>
      </c>
      <c r="H121" s="73"/>
    </row>
    <row r="122" spans="1:10" ht="11.25" customHeight="1" x14ac:dyDescent="0.15">
      <c r="A122" s="74" t="s">
        <v>48</v>
      </c>
      <c r="B122" s="86" t="s">
        <v>77</v>
      </c>
      <c r="C122" s="87"/>
      <c r="D122" s="87"/>
      <c r="E122" s="87"/>
      <c r="F122" s="87"/>
      <c r="G122" s="78">
        <f>G75</f>
        <v>0</v>
      </c>
      <c r="H122" s="73"/>
    </row>
    <row r="123" spans="1:10" ht="11.25" customHeight="1" x14ac:dyDescent="0.15">
      <c r="A123" s="74" t="s">
        <v>49</v>
      </c>
      <c r="B123" s="86" t="s">
        <v>78</v>
      </c>
      <c r="C123" s="87"/>
      <c r="D123" s="87"/>
      <c r="E123" s="87"/>
      <c r="F123" s="87"/>
      <c r="G123" s="78">
        <f>G83</f>
        <v>0</v>
      </c>
      <c r="H123" s="73"/>
    </row>
    <row r="124" spans="1:10" ht="11.25" customHeight="1" x14ac:dyDescent="0.15">
      <c r="A124" s="74" t="s">
        <v>50</v>
      </c>
      <c r="B124" s="86" t="s">
        <v>79</v>
      </c>
      <c r="C124" s="87"/>
      <c r="D124" s="87"/>
      <c r="E124" s="87"/>
      <c r="F124" s="87"/>
      <c r="G124" s="78">
        <f>G87</f>
        <v>0</v>
      </c>
      <c r="H124" s="73"/>
    </row>
    <row r="125" spans="1:10" ht="11.25" customHeight="1" x14ac:dyDescent="0.15">
      <c r="A125" s="74" t="s">
        <v>51</v>
      </c>
      <c r="B125" s="86" t="s">
        <v>80</v>
      </c>
      <c r="C125" s="87"/>
      <c r="D125" s="87"/>
      <c r="E125" s="87"/>
      <c r="F125" s="87"/>
      <c r="G125" s="78">
        <f>G90</f>
        <v>0</v>
      </c>
      <c r="H125" s="73"/>
    </row>
    <row r="126" spans="1:10" ht="11.25" customHeight="1" thickBot="1" x14ac:dyDescent="0.2">
      <c r="A126" s="74" t="s">
        <v>52</v>
      </c>
      <c r="B126" s="100" t="s">
        <v>81</v>
      </c>
      <c r="C126" s="101"/>
      <c r="D126" s="101"/>
      <c r="E126" s="101"/>
      <c r="F126" s="101"/>
      <c r="G126" s="78">
        <f>G97</f>
        <v>0</v>
      </c>
      <c r="H126" s="73"/>
    </row>
    <row r="127" spans="1:10" ht="11.25" customHeight="1" x14ac:dyDescent="0.2">
      <c r="A127" s="103"/>
      <c r="B127" s="107" t="s">
        <v>86</v>
      </c>
      <c r="C127" s="107"/>
      <c r="D127" s="107"/>
      <c r="E127" s="107"/>
      <c r="F127" s="107"/>
      <c r="G127" s="105">
        <f>SUM(G110:G126)</f>
        <v>0</v>
      </c>
      <c r="H127" s="75"/>
    </row>
    <row r="128" spans="1:10" ht="12" customHeight="1" thickBot="1" x14ac:dyDescent="0.25">
      <c r="A128" s="104"/>
      <c r="B128" s="108"/>
      <c r="C128" s="108"/>
      <c r="D128" s="108"/>
      <c r="E128" s="108"/>
      <c r="F128" s="108"/>
      <c r="G128" s="106"/>
      <c r="H128" s="75"/>
    </row>
    <row r="130" spans="1:7" x14ac:dyDescent="0.15">
      <c r="A130" s="102" t="s">
        <v>87</v>
      </c>
      <c r="B130" s="102"/>
      <c r="C130" s="102"/>
      <c r="D130" s="102"/>
      <c r="E130" s="102"/>
      <c r="F130" s="102"/>
      <c r="G130" s="102"/>
    </row>
    <row r="131" spans="1:7" x14ac:dyDescent="0.15">
      <c r="A131" s="102" t="s">
        <v>92</v>
      </c>
      <c r="B131" s="102"/>
      <c r="C131" s="102"/>
      <c r="D131" s="102"/>
      <c r="E131" s="102"/>
      <c r="F131" s="102"/>
      <c r="G131" s="102"/>
    </row>
    <row r="132" spans="1:7" ht="11.25" customHeight="1" x14ac:dyDescent="0.15">
      <c r="A132" s="88" t="s">
        <v>94</v>
      </c>
      <c r="B132" s="88"/>
      <c r="C132" s="88"/>
      <c r="D132" s="88"/>
      <c r="E132" s="88"/>
      <c r="F132" s="88"/>
      <c r="G132" s="88"/>
    </row>
    <row r="133" spans="1:7" ht="11.25" customHeight="1" x14ac:dyDescent="0.15">
      <c r="A133" s="88" t="s">
        <v>95</v>
      </c>
      <c r="B133" s="88"/>
      <c r="C133" s="88"/>
      <c r="D133" s="88"/>
      <c r="E133" s="88"/>
      <c r="F133" s="88"/>
      <c r="G133" s="88"/>
    </row>
    <row r="134" spans="1:7" x14ac:dyDescent="0.15">
      <c r="A134" s="102" t="s">
        <v>96</v>
      </c>
      <c r="B134" s="102"/>
      <c r="C134" s="102"/>
      <c r="D134" s="102"/>
      <c r="E134" s="102"/>
      <c r="F134" s="102"/>
      <c r="G134" s="102"/>
    </row>
  </sheetData>
  <sheetProtection algorithmName="SHA-512" hashValue="tIsCu2UhQjYaqvkF0i3nXzigUeak+/f8Sr7FwUJsTIKGCPfxth1jnnuQ2i1NKlBbTbaEMWAhAslHmSYROaEwWA==" saltValue="4fiaOk0BJ/hLeDvRoNXCTg==" spinCount="100000" sheet="1" objects="1" scenarios="1"/>
  <mergeCells count="99">
    <mergeCell ref="A134:G134"/>
    <mergeCell ref="D14:D15"/>
    <mergeCell ref="E14:E15"/>
    <mergeCell ref="F14:F15"/>
    <mergeCell ref="B27:B29"/>
    <mergeCell ref="D27:D29"/>
    <mergeCell ref="B16:C16"/>
    <mergeCell ref="B20:C20"/>
    <mergeCell ref="B25:C25"/>
    <mergeCell ref="B18:C18"/>
    <mergeCell ref="B19:C19"/>
    <mergeCell ref="B22:C22"/>
    <mergeCell ref="B24:C24"/>
    <mergeCell ref="F27:F29"/>
    <mergeCell ref="B112:F112"/>
    <mergeCell ref="B113:F113"/>
    <mergeCell ref="G27:G29"/>
    <mergeCell ref="C27:C29"/>
    <mergeCell ref="A1:A3"/>
    <mergeCell ref="B1:G1"/>
    <mergeCell ref="B2:G2"/>
    <mergeCell ref="B9:G9"/>
    <mergeCell ref="B5:G5"/>
    <mergeCell ref="G10:G11"/>
    <mergeCell ref="B13:G13"/>
    <mergeCell ref="B17:G17"/>
    <mergeCell ref="B21:G21"/>
    <mergeCell ref="B26:G26"/>
    <mergeCell ref="B23:C23"/>
    <mergeCell ref="G14:G15"/>
    <mergeCell ref="B8:C8"/>
    <mergeCell ref="B14:C15"/>
    <mergeCell ref="A98:A104"/>
    <mergeCell ref="B10:C11"/>
    <mergeCell ref="D10:D11"/>
    <mergeCell ref="E10:E11"/>
    <mergeCell ref="A84:A86"/>
    <mergeCell ref="A88:A89"/>
    <mergeCell ref="A91:A96"/>
    <mergeCell ref="A38:A42"/>
    <mergeCell ref="B66:B70"/>
    <mergeCell ref="B72:B74"/>
    <mergeCell ref="B76:B82"/>
    <mergeCell ref="E27:E29"/>
    <mergeCell ref="A72:A74"/>
    <mergeCell ref="A76:A82"/>
    <mergeCell ref="B12:C12"/>
    <mergeCell ref="B84:B86"/>
    <mergeCell ref="F10:F11"/>
    <mergeCell ref="A10:A11"/>
    <mergeCell ref="A14:A15"/>
    <mergeCell ref="A63:A64"/>
    <mergeCell ref="A66:A70"/>
    <mergeCell ref="A49:A54"/>
    <mergeCell ref="A56:A61"/>
    <mergeCell ref="A44:A47"/>
    <mergeCell ref="A27:A29"/>
    <mergeCell ref="B56:B61"/>
    <mergeCell ref="B63:B64"/>
    <mergeCell ref="A30:A36"/>
    <mergeCell ref="B44:B47"/>
    <mergeCell ref="B49:B54"/>
    <mergeCell ref="B30:B36"/>
    <mergeCell ref="B38:B42"/>
    <mergeCell ref="A130:G130"/>
    <mergeCell ref="A131:G131"/>
    <mergeCell ref="A127:A128"/>
    <mergeCell ref="G127:G128"/>
    <mergeCell ref="B127:F128"/>
    <mergeCell ref="F104:G104"/>
    <mergeCell ref="B109:F109"/>
    <mergeCell ref="B124:F124"/>
    <mergeCell ref="B125:F125"/>
    <mergeCell ref="B126:F126"/>
    <mergeCell ref="B115:F115"/>
    <mergeCell ref="B116:F116"/>
    <mergeCell ref="B117:F117"/>
    <mergeCell ref="B118:F118"/>
    <mergeCell ref="B123:F123"/>
    <mergeCell ref="B119:F119"/>
    <mergeCell ref="B120:F120"/>
    <mergeCell ref="B121:F121"/>
    <mergeCell ref="B122:F122"/>
    <mergeCell ref="B110:F110"/>
    <mergeCell ref="B111:F111"/>
    <mergeCell ref="A132:G132"/>
    <mergeCell ref="A133:G133"/>
    <mergeCell ref="B88:B89"/>
    <mergeCell ref="B105:C105"/>
    <mergeCell ref="B91:B96"/>
    <mergeCell ref="B98:B104"/>
    <mergeCell ref="B114:F114"/>
    <mergeCell ref="B107:F107"/>
    <mergeCell ref="F98:G98"/>
    <mergeCell ref="F99:G99"/>
    <mergeCell ref="F100:G100"/>
    <mergeCell ref="F101:G101"/>
    <mergeCell ref="F102:G102"/>
    <mergeCell ref="F103:G103"/>
  </mergeCells>
  <pageMargins left="0.7" right="0.7" top="0.78740157499999996" bottom="0.78740157499999996" header="0.3" footer="0.3"/>
  <pageSetup paperSize="9" scale="60" fitToHeight="0" orientation="portrait" r:id="rId1"/>
  <ignoredErrors>
    <ignoredError sqref="D24" numberStoredAsText="1"/>
    <ignoredError sqref="G87 G83 G75 G71 G65 G62 G55 G48 G43 G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2024-08-08T08:13:47Z</cp:lastPrinted>
  <dcterms:created xsi:type="dcterms:W3CDTF">2024-07-29T12:21:31Z</dcterms:created>
  <dcterms:modified xsi:type="dcterms:W3CDTF">2024-11-25T06:58:40Z</dcterms:modified>
</cp:coreProperties>
</file>